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05003441\Desktop\Proofs\"/>
    </mc:Choice>
  </mc:AlternateContent>
  <xr:revisionPtr revIDLastSave="0" documentId="13_ncr:1_{E647B6E7-DD9C-460D-A9BF-38372372F680}" xr6:coauthVersionLast="47" xr6:coauthVersionMax="47" xr10:uidLastSave="{00000000-0000-0000-0000-000000000000}"/>
  <bookViews>
    <workbookView xWindow="-120" yWindow="-120" windowWidth="29040" windowHeight="15990" xr2:uid="{FE36196A-20E0-2D40-8695-8CC36300B13F}"/>
  </bookViews>
  <sheets>
    <sheet name="Height and mass" sheetId="1" r:id="rId1"/>
    <sheet name="Metabolic rates" sheetId="2" r:id="rId2"/>
    <sheet name="Model" sheetId="4" r:id="rId3"/>
    <sheet name="Drinking postur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4" l="1"/>
  <c r="G33" i="4"/>
  <c r="H33" i="4" s="1"/>
  <c r="I33" i="4" s="1"/>
  <c r="K33" i="4" s="1"/>
  <c r="M33" i="4" s="1"/>
  <c r="D13" i="4"/>
  <c r="D14" i="4" s="1"/>
  <c r="E14" i="4" s="1"/>
  <c r="G12" i="4"/>
  <c r="H12" i="4" s="1"/>
  <c r="I12" i="4" s="1"/>
  <c r="K12" i="4" s="1"/>
  <c r="M12" i="4" s="1"/>
  <c r="C9" i="4"/>
  <c r="G40" i="4" s="1"/>
  <c r="H40" i="4" s="1"/>
  <c r="I40" i="4" s="1"/>
  <c r="J8" i="4"/>
  <c r="H8" i="4"/>
  <c r="I8" i="4" s="1"/>
  <c r="F8" i="4"/>
  <c r="P4" i="4"/>
  <c r="P5" i="4" s="1"/>
  <c r="B31" i="3"/>
  <c r="C29" i="3"/>
  <c r="C31" i="3" s="1"/>
  <c r="C22" i="3"/>
  <c r="C23" i="3" s="1"/>
  <c r="C21" i="3"/>
  <c r="F21" i="3" s="1"/>
  <c r="D19" i="3"/>
  <c r="C19" i="3"/>
  <c r="D18" i="3"/>
  <c r="C18" i="3"/>
  <c r="D17" i="3"/>
  <c r="C17" i="3"/>
  <c r="K14" i="3"/>
  <c r="J14" i="3"/>
  <c r="E14" i="3"/>
  <c r="K13" i="3"/>
  <c r="J13" i="3"/>
  <c r="E13" i="3"/>
  <c r="K12" i="3"/>
  <c r="J12" i="3"/>
  <c r="E12" i="3"/>
  <c r="K11" i="3"/>
  <c r="J11" i="3"/>
  <c r="E11" i="3"/>
  <c r="K10" i="3"/>
  <c r="J10" i="3"/>
  <c r="E10" i="3"/>
  <c r="K9" i="3"/>
  <c r="J9" i="3"/>
  <c r="E9" i="3"/>
  <c r="K8" i="3"/>
  <c r="J8" i="3"/>
  <c r="E8" i="3"/>
  <c r="K7" i="3"/>
  <c r="J7" i="3"/>
  <c r="E7" i="3"/>
  <c r="E17" i="3" s="1"/>
  <c r="K6" i="3"/>
  <c r="J6" i="3"/>
  <c r="E6" i="3"/>
  <c r="K40" i="4" l="1"/>
  <c r="M40" i="4" s="1"/>
  <c r="G13" i="4"/>
  <c r="H13" i="4" s="1"/>
  <c r="I13" i="4" s="1"/>
  <c r="K13" i="4" s="1"/>
  <c r="M13" i="4" s="1"/>
  <c r="G37" i="4"/>
  <c r="H37" i="4" s="1"/>
  <c r="I37" i="4" s="1"/>
  <c r="K37" i="4" s="1"/>
  <c r="M37" i="4" s="1"/>
  <c r="E18" i="3"/>
  <c r="E19" i="3" s="1"/>
  <c r="E12" i="4"/>
  <c r="E40" i="4"/>
  <c r="E13" i="4"/>
  <c r="E33" i="4"/>
  <c r="E37" i="4"/>
  <c r="K8" i="4"/>
  <c r="M8" i="4" s="1"/>
  <c r="D15" i="4"/>
  <c r="G14" i="4"/>
  <c r="C33" i="3"/>
  <c r="C34" i="3" s="1"/>
  <c r="C35" i="3" s="1"/>
  <c r="C30" i="3"/>
  <c r="E15" i="4" l="1"/>
  <c r="D16" i="4"/>
  <c r="G15" i="4"/>
  <c r="H15" i="4" s="1"/>
  <c r="I15" i="4" s="1"/>
  <c r="K15" i="4" s="1"/>
  <c r="M15" i="4" s="1"/>
  <c r="H14" i="4"/>
  <c r="I14" i="4" s="1"/>
  <c r="K14" i="4" s="1"/>
  <c r="M14" i="4" s="1"/>
  <c r="O14" i="4"/>
  <c r="C37" i="3"/>
  <c r="C39" i="3" s="1"/>
  <c r="C36" i="3"/>
  <c r="D17" i="4" l="1"/>
  <c r="E16" i="4"/>
  <c r="G16" i="4"/>
  <c r="H16" i="4" s="1"/>
  <c r="I16" i="4" s="1"/>
  <c r="K16" i="4" s="1"/>
  <c r="M16" i="4" s="1"/>
  <c r="F26" i="2"/>
  <c r="B26" i="2"/>
  <c r="B27" i="2" s="1"/>
  <c r="B28" i="2" s="1"/>
  <c r="G16" i="2" s="1"/>
  <c r="G17" i="2" s="1"/>
  <c r="G14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D28" i="1"/>
  <c r="D27" i="1"/>
  <c r="D26" i="1"/>
  <c r="D25" i="1"/>
  <c r="J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18" i="4" l="1"/>
  <c r="E17" i="4"/>
  <c r="G17" i="4"/>
  <c r="H17" i="4" s="1"/>
  <c r="I17" i="4" s="1"/>
  <c r="K17" i="4" s="1"/>
  <c r="M17" i="4" s="1"/>
  <c r="G18" i="4" l="1"/>
  <c r="H18" i="4" s="1"/>
  <c r="I18" i="4" s="1"/>
  <c r="K18" i="4" s="1"/>
  <c r="M18" i="4" s="1"/>
  <c r="E18" i="4"/>
  <c r="D19" i="4"/>
  <c r="D20" i="4" l="1"/>
  <c r="G19" i="4"/>
  <c r="H19" i="4" s="1"/>
  <c r="I19" i="4" s="1"/>
  <c r="K19" i="4" s="1"/>
  <c r="M19" i="4" s="1"/>
  <c r="E19" i="4"/>
  <c r="D21" i="4" l="1"/>
  <c r="G20" i="4"/>
  <c r="H20" i="4" s="1"/>
  <c r="I20" i="4" s="1"/>
  <c r="K20" i="4" s="1"/>
  <c r="M20" i="4" s="1"/>
  <c r="E20" i="4"/>
  <c r="D22" i="4" l="1"/>
  <c r="E21" i="4"/>
  <c r="G21" i="4"/>
  <c r="H21" i="4" s="1"/>
  <c r="I21" i="4" s="1"/>
  <c r="K21" i="4" s="1"/>
  <c r="M21" i="4" s="1"/>
  <c r="D23" i="4" l="1"/>
  <c r="E22" i="4"/>
  <c r="G22" i="4"/>
  <c r="H22" i="4" s="1"/>
  <c r="I22" i="4" s="1"/>
  <c r="K22" i="4" s="1"/>
  <c r="M22" i="4" s="1"/>
  <c r="D24" i="4" l="1"/>
  <c r="E23" i="4"/>
  <c r="G23" i="4"/>
  <c r="H23" i="4" s="1"/>
  <c r="I23" i="4" s="1"/>
  <c r="K23" i="4" s="1"/>
  <c r="M23" i="4" s="1"/>
  <c r="D25" i="4" l="1"/>
  <c r="G24" i="4"/>
  <c r="H24" i="4" s="1"/>
  <c r="I24" i="4" s="1"/>
  <c r="K24" i="4" s="1"/>
  <c r="M24" i="4" s="1"/>
  <c r="E24" i="4"/>
  <c r="D26" i="4" l="1"/>
  <c r="G25" i="4"/>
  <c r="H25" i="4" s="1"/>
  <c r="I25" i="4" s="1"/>
  <c r="K25" i="4" s="1"/>
  <c r="M25" i="4" s="1"/>
  <c r="E25" i="4"/>
  <c r="E26" i="4" l="1"/>
  <c r="D27" i="4"/>
  <c r="G26" i="4"/>
  <c r="H26" i="4" s="1"/>
  <c r="I26" i="4" s="1"/>
  <c r="K26" i="4" s="1"/>
  <c r="M26" i="4" s="1"/>
  <c r="E27" i="4" l="1"/>
  <c r="D28" i="4"/>
  <c r="G27" i="4"/>
  <c r="H27" i="4" s="1"/>
  <c r="I27" i="4" s="1"/>
  <c r="K27" i="4" s="1"/>
  <c r="M27" i="4" s="1"/>
  <c r="D29" i="4" l="1"/>
  <c r="E28" i="4"/>
  <c r="G28" i="4"/>
  <c r="H28" i="4" s="1"/>
  <c r="I28" i="4" s="1"/>
  <c r="K28" i="4" s="1"/>
  <c r="M28" i="4" s="1"/>
  <c r="D30" i="4" l="1"/>
  <c r="E29" i="4"/>
  <c r="G29" i="4"/>
  <c r="H29" i="4" s="1"/>
  <c r="I29" i="4" s="1"/>
  <c r="K29" i="4" s="1"/>
  <c r="M29" i="4" s="1"/>
  <c r="E30" i="4" l="1"/>
  <c r="D31" i="4"/>
  <c r="G30" i="4"/>
  <c r="H30" i="4" s="1"/>
  <c r="I30" i="4" s="1"/>
  <c r="K30" i="4" s="1"/>
  <c r="M30" i="4" s="1"/>
  <c r="G31" i="4" l="1"/>
  <c r="H31" i="4" s="1"/>
  <c r="I31" i="4" s="1"/>
  <c r="K31" i="4" s="1"/>
  <c r="M31" i="4" s="1"/>
  <c r="E31" i="4"/>
  <c r="D32" i="4"/>
  <c r="D34" i="4" l="1"/>
  <c r="G32" i="4"/>
  <c r="H32" i="4" s="1"/>
  <c r="I32" i="4" s="1"/>
  <c r="K32" i="4" s="1"/>
  <c r="M32" i="4" s="1"/>
  <c r="E32" i="4"/>
  <c r="D35" i="4" l="1"/>
  <c r="E34" i="4"/>
  <c r="G34" i="4"/>
  <c r="H34" i="4" s="1"/>
  <c r="I34" i="4" s="1"/>
  <c r="K34" i="4" s="1"/>
  <c r="M34" i="4" s="1"/>
  <c r="E35" i="4" l="1"/>
  <c r="D36" i="4"/>
  <c r="G35" i="4"/>
  <c r="H35" i="4" s="1"/>
  <c r="I35" i="4" s="1"/>
  <c r="K35" i="4" s="1"/>
  <c r="M35" i="4" s="1"/>
  <c r="E36" i="4" l="1"/>
  <c r="G36" i="4"/>
  <c r="H36" i="4" s="1"/>
  <c r="I36" i="4" s="1"/>
  <c r="K36" i="4" s="1"/>
  <c r="M36" i="4" s="1"/>
  <c r="D38" i="4"/>
  <c r="D39" i="4" l="1"/>
  <c r="G38" i="4"/>
  <c r="H38" i="4" s="1"/>
  <c r="I38" i="4" s="1"/>
  <c r="K38" i="4" s="1"/>
  <c r="M38" i="4" s="1"/>
  <c r="E38" i="4"/>
  <c r="D41" i="4" l="1"/>
  <c r="G39" i="4"/>
  <c r="H39" i="4" s="1"/>
  <c r="I39" i="4" s="1"/>
  <c r="K39" i="4" s="1"/>
  <c r="M39" i="4" s="1"/>
  <c r="E39" i="4"/>
  <c r="E41" i="4" l="1"/>
  <c r="D42" i="4"/>
  <c r="G41" i="4"/>
  <c r="H41" i="4" s="1"/>
  <c r="I41" i="4" s="1"/>
  <c r="K41" i="4" s="1"/>
  <c r="M41" i="4" s="1"/>
  <c r="D43" i="4" l="1"/>
  <c r="E42" i="4"/>
  <c r="G42" i="4"/>
  <c r="H42" i="4" s="1"/>
  <c r="I42" i="4" s="1"/>
  <c r="K42" i="4" s="1"/>
  <c r="M42" i="4" s="1"/>
  <c r="D44" i="4" l="1"/>
  <c r="E43" i="4"/>
  <c r="G43" i="4"/>
  <c r="H43" i="4" s="1"/>
  <c r="I43" i="4" s="1"/>
  <c r="K43" i="4" s="1"/>
  <c r="M43" i="4" s="1"/>
  <c r="G44" i="4" l="1"/>
  <c r="H44" i="4" s="1"/>
  <c r="I44" i="4" s="1"/>
  <c r="K44" i="4" s="1"/>
  <c r="M44" i="4" s="1"/>
  <c r="E44" i="4"/>
  <c r="D45" i="4"/>
  <c r="G45" i="4" l="1"/>
  <c r="H45" i="4" s="1"/>
  <c r="I45" i="4" s="1"/>
  <c r="K45" i="4" s="1"/>
  <c r="M45" i="4" s="1"/>
  <c r="O45" i="4" s="1"/>
  <c r="E45" i="4"/>
  <c r="D46" i="4"/>
  <c r="E46" i="4" l="1"/>
  <c r="D47" i="4"/>
  <c r="G46" i="4"/>
  <c r="H46" i="4" s="1"/>
  <c r="I46" i="4" s="1"/>
  <c r="K46" i="4" s="1"/>
  <c r="M46" i="4" s="1"/>
  <c r="D48" i="4" l="1"/>
  <c r="E47" i="4"/>
  <c r="G47" i="4"/>
  <c r="H47" i="4" s="1"/>
  <c r="I47" i="4" s="1"/>
  <c r="K47" i="4" s="1"/>
  <c r="M47" i="4" s="1"/>
  <c r="D49" i="4" l="1"/>
  <c r="E48" i="4"/>
  <c r="G48" i="4"/>
  <c r="H48" i="4" s="1"/>
  <c r="I48" i="4" s="1"/>
  <c r="K48" i="4" s="1"/>
  <c r="M48" i="4" s="1"/>
  <c r="G49" i="4" l="1"/>
  <c r="H49" i="4" s="1"/>
  <c r="I49" i="4" s="1"/>
  <c r="K49" i="4" s="1"/>
  <c r="M49" i="4" s="1"/>
  <c r="E49" i="4"/>
  <c r="D50" i="4"/>
  <c r="G50" i="4" l="1"/>
  <c r="H50" i="4" s="1"/>
  <c r="I50" i="4" s="1"/>
  <c r="K50" i="4" s="1"/>
  <c r="M50" i="4" s="1"/>
  <c r="E50" i="4"/>
  <c r="D51" i="4"/>
  <c r="G51" i="4" l="1"/>
  <c r="H51" i="4" s="1"/>
  <c r="I51" i="4" s="1"/>
  <c r="K51" i="4" s="1"/>
  <c r="M51" i="4" s="1"/>
  <c r="D52" i="4"/>
  <c r="E51" i="4"/>
  <c r="D53" i="4" l="1"/>
  <c r="E52" i="4"/>
  <c r="G52" i="4"/>
  <c r="H52" i="4" s="1"/>
  <c r="I52" i="4" s="1"/>
  <c r="K52" i="4" s="1"/>
  <c r="M52" i="4" s="1"/>
  <c r="E53" i="4" l="1"/>
  <c r="D54" i="4"/>
  <c r="G53" i="4"/>
  <c r="H53" i="4" s="1"/>
  <c r="I53" i="4" s="1"/>
  <c r="K53" i="4" s="1"/>
  <c r="M53" i="4" s="1"/>
  <c r="D55" i="4" l="1"/>
  <c r="E54" i="4"/>
  <c r="G54" i="4"/>
  <c r="H54" i="4" s="1"/>
  <c r="I54" i="4" s="1"/>
  <c r="K54" i="4" s="1"/>
  <c r="M54" i="4" s="1"/>
  <c r="G55" i="4" l="1"/>
  <c r="H55" i="4" s="1"/>
  <c r="I55" i="4" s="1"/>
  <c r="K55" i="4" s="1"/>
  <c r="M55" i="4" s="1"/>
  <c r="E55" i="4"/>
</calcChain>
</file>

<file path=xl/sharedStrings.xml><?xml version="1.0" encoding="utf-8"?>
<sst xmlns="http://schemas.openxmlformats.org/spreadsheetml/2006/main" count="230" uniqueCount="170">
  <si>
    <t>Ostergaard et al.2013</t>
  </si>
  <si>
    <t>OK  Note: cm</t>
  </si>
  <si>
    <t>Giraffe data</t>
  </si>
  <si>
    <t>ID</t>
  </si>
  <si>
    <t>Gender</t>
  </si>
  <si>
    <t>Age</t>
  </si>
  <si>
    <t>Height</t>
  </si>
  <si>
    <t>Weight</t>
  </si>
  <si>
    <t>(month)</t>
  </si>
  <si>
    <t>(years)</t>
  </si>
  <si>
    <t>(cm)</t>
  </si>
  <si>
    <t>(kg)</t>
  </si>
  <si>
    <t>G1</t>
  </si>
  <si>
    <t>Male</t>
  </si>
  <si>
    <t>G2</t>
  </si>
  <si>
    <t>G3</t>
  </si>
  <si>
    <t>G4</t>
  </si>
  <si>
    <t>G5</t>
  </si>
  <si>
    <t>Female</t>
  </si>
  <si>
    <t>G6</t>
  </si>
  <si>
    <t>G7</t>
  </si>
  <si>
    <t>G01</t>
  </si>
  <si>
    <t>G02</t>
  </si>
  <si>
    <t>G03</t>
  </si>
  <si>
    <t>G04</t>
  </si>
  <si>
    <t>G05</t>
  </si>
  <si>
    <t>a</t>
  </si>
  <si>
    <t>b</t>
  </si>
  <si>
    <t>G06</t>
  </si>
  <si>
    <t>G07</t>
  </si>
  <si>
    <t>G08</t>
  </si>
  <si>
    <t>Mass kg</t>
  </si>
  <si>
    <t>G09</t>
  </si>
  <si>
    <t>G10</t>
  </si>
  <si>
    <t>G11</t>
  </si>
  <si>
    <t>G12</t>
  </si>
  <si>
    <t>G13</t>
  </si>
  <si>
    <t>G14</t>
  </si>
  <si>
    <t>G15</t>
  </si>
  <si>
    <t>G17</t>
  </si>
  <si>
    <t>Adult mean</t>
  </si>
  <si>
    <t>from paper</t>
  </si>
  <si>
    <t>Artiodactyls  n = 7</t>
  </si>
  <si>
    <t>Data from White and Seymour 2003, supplementary table.</t>
  </si>
  <si>
    <t>Group</t>
  </si>
  <si>
    <t>Genus</t>
  </si>
  <si>
    <t>species</t>
  </si>
  <si>
    <t>Mass grams</t>
  </si>
  <si>
    <t>ml O2/h</t>
  </si>
  <si>
    <t>mlO2/min</t>
  </si>
  <si>
    <t>Antilocapridae</t>
  </si>
  <si>
    <t>Antilocapra</t>
  </si>
  <si>
    <t>americana</t>
  </si>
  <si>
    <t>Bovidae</t>
  </si>
  <si>
    <t>Connochaetes</t>
  </si>
  <si>
    <t>taurinus</t>
  </si>
  <si>
    <t>Ovis</t>
  </si>
  <si>
    <t>canadensis</t>
  </si>
  <si>
    <t>Cervidae</t>
  </si>
  <si>
    <t>Alces</t>
  </si>
  <si>
    <t>alces</t>
  </si>
  <si>
    <t>Capreolus</t>
  </si>
  <si>
    <t>capreolus</t>
  </si>
  <si>
    <t>Odocoileus</t>
  </si>
  <si>
    <t>virginianus</t>
  </si>
  <si>
    <t>Tayassuidae</t>
  </si>
  <si>
    <t>Pecari</t>
  </si>
  <si>
    <t>tajacu</t>
  </si>
  <si>
    <t>Giraffe</t>
  </si>
  <si>
    <t>W</t>
  </si>
  <si>
    <t>All mammals</t>
  </si>
  <si>
    <t>artiodactyls/all mammals</t>
  </si>
  <si>
    <t>Checked.  All good</t>
  </si>
  <si>
    <t>All mammals-post absorptive</t>
  </si>
  <si>
    <t>n = 619</t>
  </si>
  <si>
    <t>VO2= ml O2/h</t>
  </si>
  <si>
    <t>Snelling and Seymour 2024</t>
  </si>
  <si>
    <t>White and Seymour 2003 allometry  Fig 2a.</t>
  </si>
  <si>
    <t>Mb = grams</t>
  </si>
  <si>
    <t>Relative cost of the mammal left ventricle</t>
  </si>
  <si>
    <t>Mb =</t>
  </si>
  <si>
    <t>g</t>
  </si>
  <si>
    <t>Mb</t>
  </si>
  <si>
    <t>kg</t>
  </si>
  <si>
    <t>VO2 =</t>
  </si>
  <si>
    <t>Elv,met/Eb</t>
  </si>
  <si>
    <t>%</t>
  </si>
  <si>
    <t>ml O2/min</t>
  </si>
  <si>
    <t>Watts</t>
  </si>
  <si>
    <t>Photo #</t>
  </si>
  <si>
    <t>left</t>
  </si>
  <si>
    <t>right</t>
  </si>
  <si>
    <t>left animal</t>
  </si>
  <si>
    <t>right animal</t>
  </si>
  <si>
    <t>Giraffe splay foot measurements</t>
  </si>
  <si>
    <t>front view</t>
  </si>
  <si>
    <t>right and left are my view of the photo, opposite on the animal</t>
  </si>
  <si>
    <t>pixels</t>
  </si>
  <si>
    <t>leg-water angle</t>
  </si>
  <si>
    <t>mean angle</t>
  </si>
  <si>
    <t>hoof-wrist</t>
  </si>
  <si>
    <t>hoof-elbow</t>
  </si>
  <si>
    <t>wrist -elbow</t>
  </si>
  <si>
    <t>elbow-elbow</t>
  </si>
  <si>
    <t>Beta angle</t>
  </si>
  <si>
    <t>Both</t>
  </si>
  <si>
    <t>mean</t>
  </si>
  <si>
    <t>SD</t>
  </si>
  <si>
    <t>CI</t>
  </si>
  <si>
    <t>all angles</t>
  </si>
  <si>
    <t>n=9</t>
  </si>
  <si>
    <t>sine of Beta</t>
  </si>
  <si>
    <t>n</t>
  </si>
  <si>
    <t xml:space="preserve">Model animal standing </t>
  </si>
  <si>
    <t>Body mass</t>
  </si>
  <si>
    <t>Shoulder height</t>
  </si>
  <si>
    <t>mm</t>
  </si>
  <si>
    <t>elbow height</t>
  </si>
  <si>
    <t>see van Sitters spreadsheet</t>
  </si>
  <si>
    <t>difference</t>
  </si>
  <si>
    <t>leg length below elbow</t>
  </si>
  <si>
    <t>L</t>
  </si>
  <si>
    <t>Model animal splaying</t>
  </si>
  <si>
    <t>angle Beta</t>
  </si>
  <si>
    <t>degrees</t>
  </si>
  <si>
    <t>sine Beta</t>
  </si>
  <si>
    <t>h</t>
  </si>
  <si>
    <t xml:space="preserve"> </t>
  </si>
  <si>
    <t>L-h</t>
  </si>
  <si>
    <t>Splaying causes the elbow to drop 480 mm. The heart drops this amount too.</t>
  </si>
  <si>
    <t>heart height</t>
  </si>
  <si>
    <t>Giraffe model to alter length of legs on cost of left ventricle</t>
  </si>
  <si>
    <t>Density</t>
  </si>
  <si>
    <t>Efficiency assumed b =</t>
  </si>
  <si>
    <t>blood</t>
  </si>
  <si>
    <t>g/cm3</t>
  </si>
  <si>
    <t>% @ 1 kg</t>
  </si>
  <si>
    <t>mercury</t>
  </si>
  <si>
    <t>ratio</t>
  </si>
  <si>
    <t>Heart rate</t>
  </si>
  <si>
    <t>Stroke volume</t>
  </si>
  <si>
    <t>CO</t>
  </si>
  <si>
    <t>Pmean</t>
  </si>
  <si>
    <t xml:space="preserve">Pmean </t>
  </si>
  <si>
    <t>ELV</t>
  </si>
  <si>
    <t>Efficiency</t>
  </si>
  <si>
    <t>Evcost</t>
  </si>
  <si>
    <t>Eb</t>
  </si>
  <si>
    <t>100*ELV/Eb</t>
  </si>
  <si>
    <t>1mm height=</t>
  </si>
  <si>
    <t>Condition</t>
  </si>
  <si>
    <t>/sec</t>
  </si>
  <si>
    <t>L/s</t>
  </si>
  <si>
    <t>mmHg</t>
  </si>
  <si>
    <t>kPa</t>
  </si>
  <si>
    <t>standard</t>
  </si>
  <si>
    <t>CO value from conscious, standing giraffes Goetz et al 1960.  BMR from analysis of 7 species of Artiodactylidae (White and Seymour 2003)</t>
  </si>
  <si>
    <t>half height (heart position)</t>
  </si>
  <si>
    <t>Height of</t>
  </si>
  <si>
    <t>Hydrostatic</t>
  </si>
  <si>
    <t>heart</t>
  </si>
  <si>
    <t>Pressure</t>
  </si>
  <si>
    <t>Pmean mmHg</t>
  </si>
  <si>
    <t>Pmean   kPa</t>
  </si>
  <si>
    <t>mm Hg in head at 3877 high</t>
  </si>
  <si>
    <t>natural heart level (about)</t>
  </si>
  <si>
    <t>drinking cost</t>
  </si>
  <si>
    <t>lower heart w/o splayed legs</t>
  </si>
  <si>
    <t>eland heart level</t>
  </si>
  <si>
    <t>kPa/mm Hg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</si>
</sst>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3">
    <font>
      <sz val="12"/>
      <color theme="1"/>
      <name val="Aptos Narrow"/>
      <family val="2"/>
      <scheme val="minor"/>
    </font>
    <font>
      <sz val="16"/>
      <color theme="1"/>
      <name val="Helvetica"/>
      <family val="2"/>
    </font>
    <font>
      <b/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0" fontId="1" fillId="3" borderId="0" xfId="0" applyFont="1" applyFill="1"/>
    <xf numFmtId="0" fontId="0" fillId="3" borderId="0" xfId="0" applyFill="1"/>
    <xf numFmtId="1" fontId="0" fillId="3" borderId="0" xfId="0" applyNumberFormat="1" applyFill="1"/>
    <xf numFmtId="1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4" borderId="6" xfId="0" applyFill="1" applyBorder="1"/>
    <xf numFmtId="2" fontId="0" fillId="4" borderId="7" xfId="0" applyNumberFormat="1" applyFill="1" applyBorder="1"/>
    <xf numFmtId="0" fontId="0" fillId="0" borderId="7" xfId="0" applyBorder="1"/>
    <xf numFmtId="0" fontId="0" fillId="0" borderId="8" xfId="0" applyBorder="1"/>
    <xf numFmtId="0" fontId="0" fillId="4" borderId="0" xfId="0" applyFill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0" fillId="5" borderId="0" xfId="0" applyFill="1"/>
    <xf numFmtId="165" fontId="0" fillId="0" borderId="7" xfId="0" applyNumberFormat="1" applyBorder="1"/>
    <xf numFmtId="166" fontId="0" fillId="0" borderId="0" xfId="0" applyNumberFormat="1"/>
    <xf numFmtId="165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C156-E65E-E24D-B63E-2AF786A102E3}">
  <dimension ref="A1:J30"/>
  <sheetViews>
    <sheetView tabSelected="1" zoomScale="80" zoomScaleNormal="80" workbookViewId="0"/>
  </sheetViews>
  <sheetFormatPr defaultColWidth="11.5546875" defaultRowHeight="15"/>
  <cols>
    <col min="4" max="4" width="10.77734375" style="1"/>
    <col min="14" max="14" width="12" bestFit="1" customWidth="1"/>
  </cols>
  <sheetData>
    <row r="1" spans="1:10">
      <c r="A1" t="s">
        <v>0</v>
      </c>
      <c r="E1" s="2" t="s">
        <v>1</v>
      </c>
    </row>
    <row r="2" spans="1:10">
      <c r="A2" t="s">
        <v>2</v>
      </c>
    </row>
    <row r="4" spans="1:10">
      <c r="A4" t="s">
        <v>3</v>
      </c>
      <c r="B4" t="s">
        <v>4</v>
      </c>
      <c r="C4" t="s">
        <v>5</v>
      </c>
      <c r="E4" t="s">
        <v>6</v>
      </c>
      <c r="F4" t="s">
        <v>7</v>
      </c>
      <c r="I4" t="s">
        <v>6</v>
      </c>
      <c r="J4" t="s">
        <v>7</v>
      </c>
    </row>
    <row r="5" spans="1:10">
      <c r="C5" t="s">
        <v>8</v>
      </c>
      <c r="D5" s="1" t="s">
        <v>9</v>
      </c>
      <c r="E5" t="s">
        <v>10</v>
      </c>
      <c r="F5" t="s">
        <v>11</v>
      </c>
      <c r="I5" t="s">
        <v>10</v>
      </c>
      <c r="J5" t="s">
        <v>11</v>
      </c>
    </row>
    <row r="6" spans="1:10">
      <c r="A6" t="s">
        <v>12</v>
      </c>
      <c r="B6" t="s">
        <v>13</v>
      </c>
      <c r="C6">
        <v>22</v>
      </c>
      <c r="D6" s="1">
        <f>C6/12</f>
        <v>1.8333333333333333</v>
      </c>
      <c r="E6">
        <v>322</v>
      </c>
      <c r="F6">
        <v>370</v>
      </c>
      <c r="I6">
        <v>290</v>
      </c>
      <c r="J6">
        <v>280</v>
      </c>
    </row>
    <row r="7" spans="1:10">
      <c r="A7" t="s">
        <v>14</v>
      </c>
      <c r="B7" t="s">
        <v>13</v>
      </c>
      <c r="C7">
        <v>22</v>
      </c>
      <c r="D7" s="1">
        <f t="shared" ref="D7:D28" si="0">C7/12</f>
        <v>1.8333333333333333</v>
      </c>
      <c r="E7">
        <v>490</v>
      </c>
      <c r="I7">
        <v>310</v>
      </c>
      <c r="J7">
        <v>330</v>
      </c>
    </row>
    <row r="8" spans="1:10">
      <c r="A8" t="s">
        <v>15</v>
      </c>
      <c r="B8" t="s">
        <v>13</v>
      </c>
      <c r="C8">
        <v>22</v>
      </c>
      <c r="D8" s="1">
        <f t="shared" si="0"/>
        <v>1.8333333333333333</v>
      </c>
      <c r="E8">
        <v>335</v>
      </c>
      <c r="F8">
        <v>450</v>
      </c>
      <c r="I8">
        <v>322</v>
      </c>
      <c r="J8">
        <v>370</v>
      </c>
    </row>
    <row r="9" spans="1:10">
      <c r="A9" t="s">
        <v>16</v>
      </c>
      <c r="B9" t="s">
        <v>13</v>
      </c>
      <c r="C9">
        <v>22</v>
      </c>
      <c r="D9" s="1">
        <f t="shared" si="0"/>
        <v>1.8333333333333333</v>
      </c>
      <c r="E9">
        <v>370</v>
      </c>
      <c r="I9">
        <v>340</v>
      </c>
      <c r="J9">
        <v>420</v>
      </c>
    </row>
    <row r="10" spans="1:10">
      <c r="A10" t="s">
        <v>17</v>
      </c>
      <c r="B10" t="s">
        <v>18</v>
      </c>
      <c r="C10">
        <v>22</v>
      </c>
      <c r="D10" s="1">
        <f t="shared" si="0"/>
        <v>1.8333333333333333</v>
      </c>
      <c r="E10">
        <v>360</v>
      </c>
      <c r="I10">
        <v>330</v>
      </c>
      <c r="J10">
        <v>445</v>
      </c>
    </row>
    <row r="11" spans="1:10">
      <c r="A11" t="s">
        <v>19</v>
      </c>
      <c r="B11" t="s">
        <v>13</v>
      </c>
      <c r="C11">
        <v>22</v>
      </c>
      <c r="D11" s="1">
        <f t="shared" si="0"/>
        <v>1.8333333333333333</v>
      </c>
      <c r="E11">
        <v>340</v>
      </c>
      <c r="F11">
        <v>470</v>
      </c>
      <c r="I11">
        <v>335</v>
      </c>
      <c r="J11">
        <v>450</v>
      </c>
    </row>
    <row r="12" spans="1:10">
      <c r="A12" t="s">
        <v>20</v>
      </c>
      <c r="B12" t="s">
        <v>13</v>
      </c>
      <c r="C12">
        <v>22</v>
      </c>
      <c r="D12" s="1">
        <f t="shared" si="0"/>
        <v>1.8333333333333333</v>
      </c>
      <c r="E12">
        <v>290</v>
      </c>
      <c r="F12">
        <v>280</v>
      </c>
      <c r="I12">
        <v>350</v>
      </c>
      <c r="J12">
        <v>450</v>
      </c>
    </row>
    <row r="13" spans="1:10">
      <c r="A13" t="s">
        <v>21</v>
      </c>
      <c r="B13" t="s">
        <v>13</v>
      </c>
      <c r="C13">
        <v>18</v>
      </c>
      <c r="D13" s="1">
        <f t="shared" si="0"/>
        <v>1.5</v>
      </c>
      <c r="E13">
        <v>380</v>
      </c>
      <c r="I13">
        <v>350</v>
      </c>
      <c r="J13">
        <v>451</v>
      </c>
    </row>
    <row r="14" spans="1:10">
      <c r="A14" t="s">
        <v>22</v>
      </c>
      <c r="B14" t="s">
        <v>13</v>
      </c>
      <c r="C14">
        <v>26</v>
      </c>
      <c r="D14" s="1">
        <f t="shared" si="0"/>
        <v>2.1666666666666665</v>
      </c>
      <c r="E14">
        <v>340</v>
      </c>
      <c r="F14">
        <v>503</v>
      </c>
      <c r="I14">
        <v>350</v>
      </c>
      <c r="J14">
        <v>456</v>
      </c>
    </row>
    <row r="15" spans="1:10">
      <c r="A15" t="s">
        <v>23</v>
      </c>
      <c r="B15" t="s">
        <v>13</v>
      </c>
      <c r="C15">
        <v>33</v>
      </c>
      <c r="D15" s="1">
        <f t="shared" si="0"/>
        <v>2.75</v>
      </c>
      <c r="E15">
        <v>527</v>
      </c>
      <c r="I15">
        <v>345</v>
      </c>
      <c r="J15">
        <v>460</v>
      </c>
    </row>
    <row r="16" spans="1:10">
      <c r="A16" t="s">
        <v>24</v>
      </c>
      <c r="B16" t="s">
        <v>13</v>
      </c>
      <c r="C16">
        <v>30</v>
      </c>
      <c r="D16" s="1">
        <f t="shared" si="0"/>
        <v>2.5</v>
      </c>
      <c r="E16">
        <v>398</v>
      </c>
      <c r="I16">
        <v>340</v>
      </c>
      <c r="J16">
        <v>470</v>
      </c>
    </row>
    <row r="17" spans="1:10">
      <c r="A17" t="s">
        <v>25</v>
      </c>
      <c r="B17" t="s">
        <v>13</v>
      </c>
      <c r="C17">
        <v>33</v>
      </c>
      <c r="D17" s="1">
        <f t="shared" si="0"/>
        <v>2.75</v>
      </c>
      <c r="E17">
        <v>330</v>
      </c>
      <c r="F17">
        <v>445</v>
      </c>
      <c r="I17">
        <v>360</v>
      </c>
      <c r="J17">
        <v>475</v>
      </c>
    </row>
    <row r="18" spans="1:10">
      <c r="A18" t="s">
        <v>28</v>
      </c>
      <c r="B18" t="s">
        <v>13</v>
      </c>
      <c r="C18">
        <v>24</v>
      </c>
      <c r="D18" s="1">
        <f t="shared" si="0"/>
        <v>2</v>
      </c>
      <c r="E18">
        <v>340</v>
      </c>
      <c r="F18">
        <v>420</v>
      </c>
      <c r="I18">
        <v>340</v>
      </c>
      <c r="J18">
        <v>490</v>
      </c>
    </row>
    <row r="19" spans="1:10">
      <c r="A19" t="s">
        <v>29</v>
      </c>
      <c r="B19" t="s">
        <v>13</v>
      </c>
      <c r="C19">
        <v>14</v>
      </c>
      <c r="D19" s="1">
        <f t="shared" si="0"/>
        <v>1.1666666666666667</v>
      </c>
      <c r="E19">
        <v>310</v>
      </c>
      <c r="F19">
        <v>330</v>
      </c>
      <c r="I19">
        <v>340</v>
      </c>
      <c r="J19">
        <v>503</v>
      </c>
    </row>
    <row r="20" spans="1:10">
      <c r="A20" t="s">
        <v>30</v>
      </c>
      <c r="B20" t="s">
        <v>13</v>
      </c>
      <c r="C20">
        <v>24</v>
      </c>
      <c r="D20" s="1">
        <f t="shared" si="0"/>
        <v>2</v>
      </c>
      <c r="E20">
        <v>350</v>
      </c>
      <c r="F20">
        <v>451</v>
      </c>
      <c r="I20">
        <v>380</v>
      </c>
      <c r="J20">
        <v>603</v>
      </c>
    </row>
    <row r="21" spans="1:10">
      <c r="A21" t="s">
        <v>32</v>
      </c>
      <c r="B21" t="s">
        <v>13</v>
      </c>
      <c r="C21">
        <v>33</v>
      </c>
      <c r="D21" s="1">
        <f t="shared" si="0"/>
        <v>2.75</v>
      </c>
      <c r="E21">
        <v>345</v>
      </c>
      <c r="F21">
        <v>460</v>
      </c>
      <c r="I21">
        <v>390</v>
      </c>
      <c r="J21">
        <v>630</v>
      </c>
    </row>
    <row r="22" spans="1:10">
      <c r="A22" t="s">
        <v>33</v>
      </c>
      <c r="B22" t="s">
        <v>13</v>
      </c>
      <c r="C22">
        <v>48</v>
      </c>
      <c r="D22" s="1">
        <f t="shared" si="0"/>
        <v>4</v>
      </c>
      <c r="E22">
        <v>390</v>
      </c>
      <c r="F22">
        <v>654</v>
      </c>
      <c r="I22">
        <v>390</v>
      </c>
      <c r="J22">
        <v>654</v>
      </c>
    </row>
    <row r="23" spans="1:10">
      <c r="A23" t="s">
        <v>34</v>
      </c>
      <c r="B23" t="s">
        <v>13</v>
      </c>
      <c r="C23">
        <v>36</v>
      </c>
      <c r="D23" s="1">
        <f t="shared" si="0"/>
        <v>3</v>
      </c>
      <c r="E23">
        <v>350</v>
      </c>
      <c r="F23">
        <v>456</v>
      </c>
    </row>
    <row r="24" spans="1:10">
      <c r="A24" t="s">
        <v>35</v>
      </c>
      <c r="B24" t="s">
        <v>13</v>
      </c>
      <c r="E24">
        <v>350</v>
      </c>
      <c r="F24">
        <v>450</v>
      </c>
      <c r="J24">
        <f>COUNT(J6:J22)</f>
        <v>17</v>
      </c>
    </row>
    <row r="25" spans="1:10">
      <c r="A25" t="s">
        <v>36</v>
      </c>
      <c r="B25" t="s">
        <v>13</v>
      </c>
      <c r="C25">
        <v>42</v>
      </c>
      <c r="D25" s="1">
        <f t="shared" si="0"/>
        <v>3.5</v>
      </c>
      <c r="E25">
        <v>360</v>
      </c>
      <c r="F25">
        <v>475</v>
      </c>
    </row>
    <row r="26" spans="1:10">
      <c r="A26" t="s">
        <v>37</v>
      </c>
      <c r="B26" t="s">
        <v>13</v>
      </c>
      <c r="C26">
        <v>51</v>
      </c>
      <c r="D26" s="1">
        <f t="shared" si="0"/>
        <v>4.25</v>
      </c>
      <c r="E26">
        <v>380</v>
      </c>
      <c r="F26">
        <v>603</v>
      </c>
    </row>
    <row r="27" spans="1:10">
      <c r="A27" t="s">
        <v>38</v>
      </c>
      <c r="B27" t="s">
        <v>18</v>
      </c>
      <c r="C27">
        <v>42</v>
      </c>
      <c r="D27" s="1">
        <f t="shared" si="0"/>
        <v>3.5</v>
      </c>
      <c r="E27">
        <v>340</v>
      </c>
      <c r="F27">
        <v>490</v>
      </c>
    </row>
    <row r="28" spans="1:10">
      <c r="A28" t="s">
        <v>39</v>
      </c>
      <c r="B28" t="s">
        <v>13</v>
      </c>
      <c r="C28">
        <v>54</v>
      </c>
      <c r="D28" s="1">
        <f t="shared" si="0"/>
        <v>4.5</v>
      </c>
      <c r="E28">
        <v>390</v>
      </c>
      <c r="F28">
        <v>630</v>
      </c>
    </row>
    <row r="30" spans="1:10">
      <c r="B30" t="s">
        <v>40</v>
      </c>
      <c r="E30">
        <v>344</v>
      </c>
      <c r="F30">
        <v>458</v>
      </c>
      <c r="G30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9223-2698-964E-A541-9130FF2D50C0}">
  <dimension ref="A1:J28"/>
  <sheetViews>
    <sheetView zoomScale="80" zoomScaleNormal="80" workbookViewId="0"/>
  </sheetViews>
  <sheetFormatPr defaultColWidth="11.5546875" defaultRowHeight="15"/>
  <sheetData>
    <row r="1" spans="1:8">
      <c r="A1" t="s">
        <v>42</v>
      </c>
      <c r="B1" t="s">
        <v>43</v>
      </c>
    </row>
    <row r="4" spans="1:8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31</v>
      </c>
      <c r="G4" t="s">
        <v>49</v>
      </c>
    </row>
    <row r="5" spans="1:8">
      <c r="A5" t="s">
        <v>50</v>
      </c>
      <c r="B5" t="s">
        <v>51</v>
      </c>
      <c r="C5" t="s">
        <v>52</v>
      </c>
      <c r="D5">
        <v>37800</v>
      </c>
      <c r="E5">
        <v>9318</v>
      </c>
      <c r="F5">
        <f>D5/1000</f>
        <v>37.799999999999997</v>
      </c>
      <c r="G5">
        <f>E5/60</f>
        <v>155.30000000000001</v>
      </c>
    </row>
    <row r="6" spans="1:8">
      <c r="A6" t="s">
        <v>53</v>
      </c>
      <c r="B6" t="s">
        <v>54</v>
      </c>
      <c r="C6" t="s">
        <v>55</v>
      </c>
      <c r="D6">
        <v>196500</v>
      </c>
      <c r="E6">
        <v>41242</v>
      </c>
      <c r="F6">
        <f t="shared" ref="F6:F11" si="0">D6/1000</f>
        <v>196.5</v>
      </c>
      <c r="G6">
        <f t="shared" ref="G6:G11" si="1">E6/60</f>
        <v>687.36666666666667</v>
      </c>
    </row>
    <row r="7" spans="1:8">
      <c r="A7" t="s">
        <v>53</v>
      </c>
      <c r="B7" t="s">
        <v>56</v>
      </c>
      <c r="C7" t="s">
        <v>57</v>
      </c>
      <c r="D7">
        <v>69125</v>
      </c>
      <c r="E7">
        <v>19120</v>
      </c>
      <c r="F7">
        <f t="shared" si="0"/>
        <v>69.125</v>
      </c>
      <c r="G7">
        <f t="shared" si="1"/>
        <v>318.66666666666669</v>
      </c>
    </row>
    <row r="8" spans="1:8">
      <c r="A8" t="s">
        <v>58</v>
      </c>
      <c r="B8" t="s">
        <v>59</v>
      </c>
      <c r="C8" t="s">
        <v>60</v>
      </c>
      <c r="D8">
        <v>325000</v>
      </c>
      <c r="E8">
        <v>51419</v>
      </c>
      <c r="F8">
        <f t="shared" si="0"/>
        <v>325</v>
      </c>
      <c r="G8">
        <f t="shared" si="1"/>
        <v>856.98333333333335</v>
      </c>
    </row>
    <row r="9" spans="1:8">
      <c r="A9" t="s">
        <v>58</v>
      </c>
      <c r="B9" t="s">
        <v>61</v>
      </c>
      <c r="C9" t="s">
        <v>62</v>
      </c>
      <c r="D9">
        <v>21500</v>
      </c>
      <c r="E9">
        <v>8308</v>
      </c>
      <c r="F9">
        <f t="shared" si="0"/>
        <v>21.5</v>
      </c>
      <c r="G9">
        <f t="shared" si="1"/>
        <v>138.46666666666667</v>
      </c>
    </row>
    <row r="10" spans="1:8">
      <c r="A10" t="s">
        <v>58</v>
      </c>
      <c r="B10" t="s">
        <v>63</v>
      </c>
      <c r="C10" t="s">
        <v>64</v>
      </c>
      <c r="D10">
        <v>58588</v>
      </c>
      <c r="E10">
        <v>25609</v>
      </c>
      <c r="F10">
        <f t="shared" si="0"/>
        <v>58.588000000000001</v>
      </c>
      <c r="G10">
        <f t="shared" si="1"/>
        <v>426.81666666666666</v>
      </c>
    </row>
    <row r="11" spans="1:8">
      <c r="A11" t="s">
        <v>65</v>
      </c>
      <c r="B11" t="s">
        <v>66</v>
      </c>
      <c r="C11" t="s">
        <v>67</v>
      </c>
      <c r="D11">
        <v>20500</v>
      </c>
      <c r="E11">
        <v>5945</v>
      </c>
      <c r="F11">
        <f t="shared" si="0"/>
        <v>20.5</v>
      </c>
      <c r="G11">
        <f t="shared" si="1"/>
        <v>99.083333333333329</v>
      </c>
    </row>
    <row r="14" spans="1:8" ht="20.25">
      <c r="A14" s="3" t="s">
        <v>68</v>
      </c>
      <c r="B14" s="4"/>
      <c r="C14" s="4"/>
      <c r="D14" s="4"/>
      <c r="E14" s="4"/>
      <c r="F14" s="4">
        <v>651</v>
      </c>
      <c r="G14" s="5">
        <f>J4*(F14^J5)</f>
        <v>0</v>
      </c>
    </row>
    <row r="15" spans="1:8">
      <c r="G15">
        <v>592</v>
      </c>
      <c r="H15" t="s">
        <v>69</v>
      </c>
    </row>
    <row r="16" spans="1:8">
      <c r="E16" t="s">
        <v>70</v>
      </c>
      <c r="G16" s="6">
        <f>B28</f>
        <v>245.29917733602582</v>
      </c>
      <c r="H16" t="s">
        <v>69</v>
      </c>
    </row>
    <row r="17" spans="1:10">
      <c r="E17" t="s">
        <v>71</v>
      </c>
      <c r="G17">
        <f>G15/G16</f>
        <v>2.4133794757454168</v>
      </c>
    </row>
    <row r="18" spans="1:10">
      <c r="B18" s="7" t="s">
        <v>72</v>
      </c>
      <c r="C18" s="7"/>
    </row>
    <row r="20" spans="1:10">
      <c r="A20" t="s">
        <v>73</v>
      </c>
      <c r="C20" t="s">
        <v>74</v>
      </c>
      <c r="D20" t="s">
        <v>75</v>
      </c>
      <c r="E20" s="8"/>
      <c r="F20" s="9" t="s">
        <v>76</v>
      </c>
      <c r="G20" s="9"/>
      <c r="H20" s="10"/>
    </row>
    <row r="21" spans="1:10">
      <c r="A21" t="s">
        <v>77</v>
      </c>
      <c r="D21" t="s">
        <v>78</v>
      </c>
      <c r="E21" s="11"/>
      <c r="F21" t="s">
        <v>79</v>
      </c>
      <c r="H21" s="12"/>
    </row>
    <row r="22" spans="1:10">
      <c r="B22" t="s">
        <v>26</v>
      </c>
      <c r="C22">
        <v>4.12</v>
      </c>
      <c r="E22" s="11"/>
      <c r="F22">
        <v>4.08</v>
      </c>
      <c r="H22" s="12"/>
    </row>
    <row r="23" spans="1:10">
      <c r="B23" t="s">
        <v>27</v>
      </c>
      <c r="C23">
        <v>0.69</v>
      </c>
      <c r="E23" s="11"/>
      <c r="F23">
        <v>0.12</v>
      </c>
      <c r="H23" s="12"/>
    </row>
    <row r="24" spans="1:10">
      <c r="E24" s="11"/>
      <c r="H24" s="12"/>
    </row>
    <row r="25" spans="1:10">
      <c r="A25" t="s">
        <v>80</v>
      </c>
      <c r="B25">
        <v>651000</v>
      </c>
      <c r="C25" t="s">
        <v>81</v>
      </c>
      <c r="E25" s="11" t="s">
        <v>82</v>
      </c>
      <c r="F25">
        <v>651</v>
      </c>
      <c r="G25" t="s">
        <v>83</v>
      </c>
      <c r="H25" s="12"/>
    </row>
    <row r="26" spans="1:10">
      <c r="A26" t="s">
        <v>84</v>
      </c>
      <c r="B26" s="6">
        <f>C22*(B25^C23)</f>
        <v>42292.961609659629</v>
      </c>
      <c r="C26" t="s">
        <v>48</v>
      </c>
      <c r="E26" s="13" t="s">
        <v>85</v>
      </c>
      <c r="F26" s="14">
        <f>F22*(F25^F23)</f>
        <v>8.8774836622723328</v>
      </c>
      <c r="G26" s="15" t="s">
        <v>86</v>
      </c>
      <c r="H26" s="16"/>
      <c r="J26" s="6"/>
    </row>
    <row r="27" spans="1:10">
      <c r="B27" s="6">
        <f>B26/60</f>
        <v>704.8826934943271</v>
      </c>
      <c r="C27" t="s">
        <v>87</v>
      </c>
      <c r="J27" s="6"/>
    </row>
    <row r="28" spans="1:10">
      <c r="B28" s="6">
        <f>0.348*B27</f>
        <v>245.29917733602582</v>
      </c>
      <c r="C28" t="s">
        <v>88</v>
      </c>
      <c r="J2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1D05-269A-6F43-811F-2C518D4EED81}">
  <dimension ref="A1:Q55"/>
  <sheetViews>
    <sheetView zoomScale="80" zoomScaleNormal="80" workbookViewId="0"/>
  </sheetViews>
  <sheetFormatPr defaultColWidth="11.5546875" defaultRowHeight="15"/>
  <cols>
    <col min="1" max="1" width="15" customWidth="1"/>
    <col min="8" max="13" width="10.77734375" style="20"/>
  </cols>
  <sheetData>
    <row r="1" spans="1:17">
      <c r="A1" t="s">
        <v>131</v>
      </c>
      <c r="G1" t="s">
        <v>169</v>
      </c>
      <c r="H1" s="19">
        <v>0.1333</v>
      </c>
      <c r="K1" s="19"/>
      <c r="O1" t="s">
        <v>132</v>
      </c>
    </row>
    <row r="2" spans="1:17">
      <c r="H2" s="19"/>
      <c r="J2" s="21" t="s">
        <v>133</v>
      </c>
      <c r="K2" s="21"/>
      <c r="L2" s="21">
        <v>-0.06</v>
      </c>
      <c r="O2" t="s">
        <v>134</v>
      </c>
      <c r="P2">
        <v>1.05</v>
      </c>
      <c r="Q2" t="s">
        <v>135</v>
      </c>
    </row>
    <row r="3" spans="1:17">
      <c r="H3" s="19"/>
      <c r="J3" s="21">
        <v>32</v>
      </c>
      <c r="K3" s="21" t="s">
        <v>136</v>
      </c>
      <c r="L3" s="21"/>
      <c r="O3" t="s">
        <v>137</v>
      </c>
      <c r="P3">
        <v>13.6</v>
      </c>
      <c r="Q3" t="s">
        <v>135</v>
      </c>
    </row>
    <row r="4" spans="1:17">
      <c r="O4" t="s">
        <v>138</v>
      </c>
      <c r="P4">
        <f>P2/P3</f>
        <v>7.720588235294118E-2</v>
      </c>
    </row>
    <row r="5" spans="1:17">
      <c r="B5" t="s">
        <v>114</v>
      </c>
      <c r="C5" t="s">
        <v>6</v>
      </c>
      <c r="D5" t="s">
        <v>139</v>
      </c>
      <c r="E5" t="s">
        <v>140</v>
      </c>
      <c r="F5" t="s">
        <v>141</v>
      </c>
      <c r="G5" t="s">
        <v>142</v>
      </c>
      <c r="H5" s="20" t="s">
        <v>143</v>
      </c>
      <c r="I5" s="20" t="s">
        <v>144</v>
      </c>
      <c r="J5" s="20" t="s">
        <v>145</v>
      </c>
      <c r="K5" s="20" t="s">
        <v>146</v>
      </c>
      <c r="L5" s="20" t="s">
        <v>147</v>
      </c>
      <c r="M5" s="20" t="s">
        <v>148</v>
      </c>
      <c r="O5" s="20" t="s">
        <v>149</v>
      </c>
      <c r="P5">
        <f>P4</f>
        <v>7.720588235294118E-2</v>
      </c>
    </row>
    <row r="6" spans="1:17">
      <c r="A6" t="s">
        <v>150</v>
      </c>
      <c r="B6" t="s">
        <v>83</v>
      </c>
      <c r="C6" t="s">
        <v>116</v>
      </c>
      <c r="D6" t="s">
        <v>151</v>
      </c>
      <c r="E6" t="s">
        <v>121</v>
      </c>
      <c r="F6" t="s">
        <v>152</v>
      </c>
      <c r="G6" t="s">
        <v>153</v>
      </c>
      <c r="H6" s="20" t="s">
        <v>154</v>
      </c>
      <c r="I6" s="20" t="s">
        <v>88</v>
      </c>
      <c r="K6" s="20" t="s">
        <v>88</v>
      </c>
      <c r="L6" s="20" t="s">
        <v>88</v>
      </c>
      <c r="M6" s="20" t="s">
        <v>86</v>
      </c>
    </row>
    <row r="8" spans="1:17">
      <c r="A8" t="s">
        <v>155</v>
      </c>
      <c r="B8">
        <v>651</v>
      </c>
      <c r="C8">
        <v>3877</v>
      </c>
      <c r="D8">
        <v>1.7</v>
      </c>
      <c r="E8">
        <v>0.7</v>
      </c>
      <c r="F8" s="1">
        <f>41.8/60</f>
        <v>0.69666666666666666</v>
      </c>
      <c r="G8">
        <v>214</v>
      </c>
      <c r="H8" s="20">
        <f>$H$1*G8</f>
        <v>28.526199999999999</v>
      </c>
      <c r="I8" s="20">
        <f>F8*H8</f>
        <v>19.873252666666666</v>
      </c>
      <c r="J8" s="1">
        <f>($J$3/100)*(B8^$L$2)</f>
        <v>0.21693774375962743</v>
      </c>
      <c r="K8" s="20">
        <f>I8/J8</f>
        <v>91.608091437913814</v>
      </c>
      <c r="L8" s="20">
        <v>586</v>
      </c>
      <c r="M8" s="20">
        <f>100*K8/L8</f>
        <v>15.632780108859011</v>
      </c>
      <c r="N8" t="s">
        <v>156</v>
      </c>
    </row>
    <row r="9" spans="1:17" s="15" customFormat="1">
      <c r="C9" s="15">
        <f>C8/2</f>
        <v>1938.5</v>
      </c>
      <c r="D9" s="15" t="s">
        <v>157</v>
      </c>
      <c r="H9" s="22"/>
      <c r="I9" s="22"/>
      <c r="J9" s="22"/>
      <c r="K9" s="22"/>
      <c r="L9" s="22"/>
      <c r="M9" s="22"/>
    </row>
    <row r="10" spans="1:17">
      <c r="D10" t="s">
        <v>158</v>
      </c>
      <c r="E10" t="s">
        <v>159</v>
      </c>
      <c r="G10" s="23"/>
    </row>
    <row r="11" spans="1:17">
      <c r="D11" t="s">
        <v>160</v>
      </c>
      <c r="E11" t="s">
        <v>161</v>
      </c>
      <c r="G11" t="s">
        <v>162</v>
      </c>
      <c r="H11" s="20" t="s">
        <v>163</v>
      </c>
      <c r="I11" s="20" t="s">
        <v>88</v>
      </c>
    </row>
    <row r="12" spans="1:17">
      <c r="D12">
        <v>4000</v>
      </c>
      <c r="E12">
        <f>D12*$P$5</f>
        <v>308.8235294117647</v>
      </c>
      <c r="G12">
        <f>$G$8+(($C$9-D12)*0.0772)</f>
        <v>54.852199999999982</v>
      </c>
      <c r="H12" s="20">
        <f>$H$1*G12</f>
        <v>7.311798259999998</v>
      </c>
      <c r="I12" s="20">
        <f>H12*$F$8</f>
        <v>5.0938861211333322</v>
      </c>
      <c r="K12" s="20">
        <f>I12/$J$8</f>
        <v>23.480866136311846</v>
      </c>
      <c r="M12" s="20">
        <f>100*K12/$L$8</f>
        <v>4.0069737433979258</v>
      </c>
    </row>
    <row r="13" spans="1:17">
      <c r="D13">
        <f>D12-100</f>
        <v>3900</v>
      </c>
      <c r="E13">
        <f t="shared" ref="E13:E55" si="0">D13*$P$5</f>
        <v>301.10294117647061</v>
      </c>
      <c r="G13">
        <f t="shared" ref="G13:G55" si="1">$G$8+(($C$9-D13)*0.0772)</f>
        <v>62.572199999999981</v>
      </c>
      <c r="H13" s="20">
        <f t="shared" ref="H13:H55" si="2">$H$1*G13</f>
        <v>8.3408742599999979</v>
      </c>
      <c r="I13" s="20">
        <f t="shared" ref="I13:I55" si="3">H13*$F$8</f>
        <v>5.8108090677999984</v>
      </c>
      <c r="K13" s="20">
        <f t="shared" ref="K13:K55" si="4">I13/$J$8</f>
        <v>26.785606631174904</v>
      </c>
      <c r="M13" s="20">
        <f t="shared" ref="M13:M55" si="5">100*K13/$L$8</f>
        <v>4.5709226333062976</v>
      </c>
    </row>
    <row r="14" spans="1:17">
      <c r="D14">
        <f>D13-100</f>
        <v>3800</v>
      </c>
      <c r="E14">
        <f t="shared" si="0"/>
        <v>293.38235294117646</v>
      </c>
      <c r="G14">
        <f t="shared" si="1"/>
        <v>70.29219999999998</v>
      </c>
      <c r="H14" s="20">
        <f t="shared" si="2"/>
        <v>9.3699502599999978</v>
      </c>
      <c r="I14" s="20">
        <f t="shared" si="3"/>
        <v>6.5277320144666646</v>
      </c>
      <c r="K14" s="20">
        <f t="shared" si="4"/>
        <v>30.090347126037958</v>
      </c>
      <c r="M14" s="20">
        <f t="shared" si="5"/>
        <v>5.1348715232146684</v>
      </c>
      <c r="O14">
        <f>G14-(P5*77)</f>
        <v>64.347347058823516</v>
      </c>
      <c r="P14" t="s">
        <v>164</v>
      </c>
    </row>
    <row r="15" spans="1:17">
      <c r="D15">
        <f t="shared" ref="D15:D55" si="6">D14-100</f>
        <v>3700</v>
      </c>
      <c r="E15">
        <f t="shared" si="0"/>
        <v>285.66176470588238</v>
      </c>
      <c r="G15">
        <f t="shared" si="1"/>
        <v>78.012199999999979</v>
      </c>
      <c r="H15" s="20">
        <f t="shared" si="2"/>
        <v>10.399026259999998</v>
      </c>
      <c r="I15" s="20">
        <f t="shared" si="3"/>
        <v>7.2446549611333317</v>
      </c>
      <c r="K15" s="20">
        <f t="shared" si="4"/>
        <v>33.395087620901023</v>
      </c>
      <c r="M15" s="20">
        <f t="shared" si="5"/>
        <v>5.6988204131230411</v>
      </c>
    </row>
    <row r="16" spans="1:17">
      <c r="D16">
        <f t="shared" si="6"/>
        <v>3600</v>
      </c>
      <c r="E16">
        <f t="shared" si="0"/>
        <v>277.94117647058823</v>
      </c>
      <c r="G16">
        <f t="shared" si="1"/>
        <v>85.732200000000006</v>
      </c>
      <c r="H16" s="20">
        <f t="shared" si="2"/>
        <v>11.428102260000001</v>
      </c>
      <c r="I16" s="20">
        <f t="shared" si="3"/>
        <v>7.9615779078000006</v>
      </c>
      <c r="K16" s="20">
        <f t="shared" si="4"/>
        <v>36.699828115764092</v>
      </c>
      <c r="M16" s="20">
        <f t="shared" si="5"/>
        <v>6.2627693030314155</v>
      </c>
    </row>
    <row r="17" spans="4:13">
      <c r="D17">
        <f t="shared" si="6"/>
        <v>3500</v>
      </c>
      <c r="E17">
        <f t="shared" si="0"/>
        <v>270.22058823529414</v>
      </c>
      <c r="G17">
        <f t="shared" si="1"/>
        <v>93.452199999999991</v>
      </c>
      <c r="H17" s="20">
        <f t="shared" si="2"/>
        <v>12.457178259999999</v>
      </c>
      <c r="I17" s="20">
        <f t="shared" si="3"/>
        <v>8.678500854466666</v>
      </c>
      <c r="K17" s="20">
        <f t="shared" si="4"/>
        <v>40.004568610627146</v>
      </c>
      <c r="M17" s="20">
        <f t="shared" si="5"/>
        <v>6.8267181929397864</v>
      </c>
    </row>
    <row r="18" spans="4:13">
      <c r="D18">
        <f t="shared" si="6"/>
        <v>3400</v>
      </c>
      <c r="E18">
        <f t="shared" si="0"/>
        <v>262.5</v>
      </c>
      <c r="G18">
        <f t="shared" si="1"/>
        <v>101.17219999999999</v>
      </c>
      <c r="H18" s="20">
        <f t="shared" si="2"/>
        <v>13.486254259999999</v>
      </c>
      <c r="I18" s="20">
        <f t="shared" si="3"/>
        <v>9.3954238011333331</v>
      </c>
      <c r="K18" s="20">
        <f t="shared" si="4"/>
        <v>43.309309105490208</v>
      </c>
      <c r="M18" s="20">
        <f t="shared" si="5"/>
        <v>7.3906670828481591</v>
      </c>
    </row>
    <row r="19" spans="4:13">
      <c r="D19">
        <f t="shared" si="6"/>
        <v>3300</v>
      </c>
      <c r="E19">
        <f t="shared" si="0"/>
        <v>254.77941176470588</v>
      </c>
      <c r="G19">
        <f t="shared" si="1"/>
        <v>108.89219999999999</v>
      </c>
      <c r="H19" s="20">
        <f t="shared" si="2"/>
        <v>14.515330259999999</v>
      </c>
      <c r="I19" s="20">
        <f t="shared" si="3"/>
        <v>10.112346747799998</v>
      </c>
      <c r="K19" s="20">
        <f t="shared" si="4"/>
        <v>46.614049600353255</v>
      </c>
      <c r="M19" s="20">
        <f t="shared" si="5"/>
        <v>7.9546159727565282</v>
      </c>
    </row>
    <row r="20" spans="4:13">
      <c r="D20">
        <f t="shared" si="6"/>
        <v>3200</v>
      </c>
      <c r="E20">
        <f t="shared" si="0"/>
        <v>247.05882352941177</v>
      </c>
      <c r="G20">
        <f t="shared" si="1"/>
        <v>116.61219999999999</v>
      </c>
      <c r="H20" s="20">
        <f t="shared" si="2"/>
        <v>15.544406259999999</v>
      </c>
      <c r="I20" s="20">
        <f t="shared" si="3"/>
        <v>10.829269694466666</v>
      </c>
      <c r="K20" s="20">
        <f t="shared" si="4"/>
        <v>49.918790095216316</v>
      </c>
      <c r="M20" s="20">
        <f t="shared" si="5"/>
        <v>8.5185648626649009</v>
      </c>
    </row>
    <row r="21" spans="4:13">
      <c r="D21">
        <f t="shared" si="6"/>
        <v>3100</v>
      </c>
      <c r="E21">
        <f t="shared" si="0"/>
        <v>239.33823529411765</v>
      </c>
      <c r="G21">
        <f t="shared" si="1"/>
        <v>124.3322</v>
      </c>
      <c r="H21" s="20">
        <f t="shared" si="2"/>
        <v>16.573482259999999</v>
      </c>
      <c r="I21" s="20">
        <f t="shared" si="3"/>
        <v>11.546192641133333</v>
      </c>
      <c r="K21" s="20">
        <f t="shared" si="4"/>
        <v>53.223530590079378</v>
      </c>
      <c r="M21" s="20">
        <f t="shared" si="5"/>
        <v>9.0825137525732735</v>
      </c>
    </row>
    <row r="22" spans="4:13">
      <c r="D22">
        <f t="shared" si="6"/>
        <v>3000</v>
      </c>
      <c r="E22">
        <f t="shared" si="0"/>
        <v>231.61764705882354</v>
      </c>
      <c r="G22">
        <f t="shared" si="1"/>
        <v>132.0522</v>
      </c>
      <c r="H22" s="20">
        <f t="shared" si="2"/>
        <v>17.602558259999999</v>
      </c>
      <c r="I22" s="20">
        <f t="shared" si="3"/>
        <v>12.263115587799998</v>
      </c>
      <c r="K22" s="20">
        <f t="shared" si="4"/>
        <v>56.528271084942432</v>
      </c>
      <c r="M22" s="20">
        <f t="shared" si="5"/>
        <v>9.6464626424816444</v>
      </c>
    </row>
    <row r="23" spans="4:13">
      <c r="D23">
        <f t="shared" si="6"/>
        <v>2900</v>
      </c>
      <c r="E23">
        <f t="shared" si="0"/>
        <v>223.89705882352942</v>
      </c>
      <c r="G23">
        <f t="shared" si="1"/>
        <v>139.7722</v>
      </c>
      <c r="H23" s="20">
        <f t="shared" si="2"/>
        <v>18.631634259999998</v>
      </c>
      <c r="I23" s="20">
        <f t="shared" si="3"/>
        <v>12.980038534466665</v>
      </c>
      <c r="K23" s="20">
        <f t="shared" si="4"/>
        <v>59.833011579805493</v>
      </c>
      <c r="M23" s="20">
        <f t="shared" si="5"/>
        <v>10.210411532390017</v>
      </c>
    </row>
    <row r="24" spans="4:13">
      <c r="D24">
        <f t="shared" si="6"/>
        <v>2800</v>
      </c>
      <c r="E24">
        <f t="shared" si="0"/>
        <v>216.1764705882353</v>
      </c>
      <c r="G24">
        <f t="shared" si="1"/>
        <v>147.4922</v>
      </c>
      <c r="H24" s="20">
        <f t="shared" si="2"/>
        <v>19.660710259999998</v>
      </c>
      <c r="I24" s="20">
        <f t="shared" si="3"/>
        <v>13.696961481133332</v>
      </c>
      <c r="K24" s="20">
        <f t="shared" si="4"/>
        <v>63.137752074668555</v>
      </c>
      <c r="M24" s="20">
        <f t="shared" si="5"/>
        <v>10.774360422298388</v>
      </c>
    </row>
    <row r="25" spans="4:13">
      <c r="D25">
        <f t="shared" si="6"/>
        <v>2700</v>
      </c>
      <c r="E25">
        <f t="shared" si="0"/>
        <v>208.45588235294119</v>
      </c>
      <c r="G25">
        <f t="shared" si="1"/>
        <v>155.2122</v>
      </c>
      <c r="H25" s="20">
        <f t="shared" si="2"/>
        <v>20.689786259999998</v>
      </c>
      <c r="I25" s="20">
        <f t="shared" si="3"/>
        <v>14.413884427799999</v>
      </c>
      <c r="K25" s="20">
        <f t="shared" si="4"/>
        <v>66.442492569531609</v>
      </c>
      <c r="M25" s="20">
        <f t="shared" si="5"/>
        <v>11.338309312206759</v>
      </c>
    </row>
    <row r="26" spans="4:13">
      <c r="D26">
        <f t="shared" si="6"/>
        <v>2600</v>
      </c>
      <c r="E26">
        <f t="shared" si="0"/>
        <v>200.73529411764707</v>
      </c>
      <c r="G26">
        <f t="shared" si="1"/>
        <v>162.93219999999999</v>
      </c>
      <c r="H26" s="20">
        <f t="shared" si="2"/>
        <v>21.718862259999998</v>
      </c>
      <c r="I26" s="20">
        <f t="shared" si="3"/>
        <v>15.130807374466665</v>
      </c>
      <c r="K26" s="20">
        <f t="shared" si="4"/>
        <v>69.747233064394663</v>
      </c>
      <c r="M26" s="20">
        <f t="shared" si="5"/>
        <v>11.90225820211513</v>
      </c>
    </row>
    <row r="27" spans="4:13">
      <c r="D27">
        <f t="shared" si="6"/>
        <v>2500</v>
      </c>
      <c r="E27">
        <f t="shared" si="0"/>
        <v>193.01470588235296</v>
      </c>
      <c r="G27">
        <f t="shared" si="1"/>
        <v>170.65219999999999</v>
      </c>
      <c r="H27" s="20">
        <f t="shared" si="2"/>
        <v>22.747938259999998</v>
      </c>
      <c r="I27" s="20">
        <f t="shared" si="3"/>
        <v>15.847730321133332</v>
      </c>
      <c r="K27" s="20">
        <f t="shared" si="4"/>
        <v>73.051973559257732</v>
      </c>
      <c r="M27" s="20">
        <f t="shared" si="5"/>
        <v>12.466207092023504</v>
      </c>
    </row>
    <row r="28" spans="4:13">
      <c r="D28">
        <f t="shared" si="6"/>
        <v>2400</v>
      </c>
      <c r="E28">
        <f t="shared" si="0"/>
        <v>185.29411764705884</v>
      </c>
      <c r="G28">
        <f t="shared" si="1"/>
        <v>178.37219999999999</v>
      </c>
      <c r="H28" s="20">
        <f t="shared" si="2"/>
        <v>23.777014259999998</v>
      </c>
      <c r="I28" s="20">
        <f t="shared" si="3"/>
        <v>16.564653267799997</v>
      </c>
      <c r="K28" s="20">
        <f t="shared" si="4"/>
        <v>76.356714054120786</v>
      </c>
      <c r="M28" s="20">
        <f t="shared" si="5"/>
        <v>13.030155981931875</v>
      </c>
    </row>
    <row r="29" spans="4:13">
      <c r="D29">
        <f t="shared" si="6"/>
        <v>2300</v>
      </c>
      <c r="E29">
        <f t="shared" si="0"/>
        <v>177.57352941176472</v>
      </c>
      <c r="G29">
        <f t="shared" si="1"/>
        <v>186.09219999999999</v>
      </c>
      <c r="H29" s="20">
        <f t="shared" si="2"/>
        <v>24.806090259999998</v>
      </c>
      <c r="I29" s="20">
        <f t="shared" si="3"/>
        <v>17.281576214466664</v>
      </c>
      <c r="K29" s="20">
        <f t="shared" si="4"/>
        <v>79.661454548983841</v>
      </c>
      <c r="M29" s="20">
        <f t="shared" si="5"/>
        <v>13.594104871840246</v>
      </c>
    </row>
    <row r="30" spans="4:13">
      <c r="D30">
        <f t="shared" si="6"/>
        <v>2200</v>
      </c>
      <c r="E30">
        <f t="shared" si="0"/>
        <v>169.85294117647061</v>
      </c>
      <c r="G30">
        <f t="shared" si="1"/>
        <v>193.81219999999999</v>
      </c>
      <c r="H30" s="20">
        <f t="shared" si="2"/>
        <v>25.835166259999998</v>
      </c>
      <c r="I30" s="20">
        <f t="shared" si="3"/>
        <v>17.998499161133331</v>
      </c>
      <c r="K30" s="20">
        <f t="shared" si="4"/>
        <v>82.966195043846909</v>
      </c>
      <c r="M30" s="20">
        <f t="shared" si="5"/>
        <v>14.158053761748619</v>
      </c>
    </row>
    <row r="31" spans="4:13">
      <c r="D31">
        <f t="shared" si="6"/>
        <v>2100</v>
      </c>
      <c r="E31">
        <f t="shared" si="0"/>
        <v>162.13235294117646</v>
      </c>
      <c r="G31">
        <f t="shared" si="1"/>
        <v>201.53219999999999</v>
      </c>
      <c r="H31" s="20">
        <f t="shared" si="2"/>
        <v>26.864242259999997</v>
      </c>
      <c r="I31" s="20">
        <f t="shared" si="3"/>
        <v>18.715422107799998</v>
      </c>
      <c r="K31" s="20">
        <f t="shared" si="4"/>
        <v>86.270935538709963</v>
      </c>
      <c r="M31" s="20">
        <f t="shared" si="5"/>
        <v>14.722002651656991</v>
      </c>
    </row>
    <row r="32" spans="4:13">
      <c r="D32">
        <f t="shared" si="6"/>
        <v>2000</v>
      </c>
      <c r="E32">
        <f t="shared" si="0"/>
        <v>154.41176470588235</v>
      </c>
      <c r="G32">
        <f t="shared" si="1"/>
        <v>209.25219999999999</v>
      </c>
      <c r="H32" s="20">
        <f t="shared" si="2"/>
        <v>27.893318259999997</v>
      </c>
      <c r="I32" s="20">
        <f t="shared" si="3"/>
        <v>19.432345054466666</v>
      </c>
      <c r="K32" s="20">
        <f t="shared" si="4"/>
        <v>89.575676033573032</v>
      </c>
      <c r="M32" s="20">
        <f t="shared" si="5"/>
        <v>15.285951541565364</v>
      </c>
    </row>
    <row r="33" spans="2:15">
      <c r="C33" s="17" t="s">
        <v>165</v>
      </c>
      <c r="D33" s="17">
        <v>1939</v>
      </c>
      <c r="E33" s="17">
        <f t="shared" si="0"/>
        <v>149.70220588235296</v>
      </c>
      <c r="F33" s="17"/>
      <c r="G33" s="17">
        <f t="shared" si="1"/>
        <v>213.9614</v>
      </c>
      <c r="H33" s="24">
        <f t="shared" si="2"/>
        <v>28.521054620000001</v>
      </c>
      <c r="I33" s="24">
        <f t="shared" si="3"/>
        <v>19.869668051933335</v>
      </c>
      <c r="J33" s="24"/>
      <c r="K33" s="24">
        <f t="shared" si="4"/>
        <v>91.591567735439511</v>
      </c>
      <c r="L33" s="24"/>
      <c r="M33" s="24">
        <f t="shared" si="5"/>
        <v>15.629960364409474</v>
      </c>
    </row>
    <row r="34" spans="2:15">
      <c r="D34">
        <f>D32-100</f>
        <v>1900</v>
      </c>
      <c r="E34">
        <f t="shared" si="0"/>
        <v>146.69117647058823</v>
      </c>
      <c r="G34">
        <f t="shared" si="1"/>
        <v>216.97219999999999</v>
      </c>
      <c r="H34" s="20">
        <f>$H$1*G34</f>
        <v>28.922394259999997</v>
      </c>
      <c r="I34" s="20">
        <f>H34*$F$8</f>
        <v>20.149268001133333</v>
      </c>
      <c r="K34" s="20">
        <f>I34/$J$8</f>
        <v>92.880416528436086</v>
      </c>
      <c r="M34" s="20">
        <f>100*K34/$L$8</f>
        <v>15.849900431473735</v>
      </c>
    </row>
    <row r="35" spans="2:15">
      <c r="D35">
        <f t="shared" si="6"/>
        <v>1800</v>
      </c>
      <c r="E35">
        <f t="shared" si="0"/>
        <v>138.97058823529412</v>
      </c>
      <c r="G35">
        <f t="shared" si="1"/>
        <v>224.69220000000001</v>
      </c>
      <c r="H35" s="20">
        <f t="shared" si="2"/>
        <v>29.951470260000001</v>
      </c>
      <c r="I35" s="20">
        <f t="shared" si="3"/>
        <v>20.8661909478</v>
      </c>
      <c r="K35" s="20">
        <f t="shared" si="4"/>
        <v>96.185157023299155</v>
      </c>
      <c r="M35" s="20">
        <f t="shared" si="5"/>
        <v>16.413849321382109</v>
      </c>
    </row>
    <row r="36" spans="2:15">
      <c r="D36">
        <f t="shared" si="6"/>
        <v>1700</v>
      </c>
      <c r="E36">
        <f t="shared" si="0"/>
        <v>131.25</v>
      </c>
      <c r="G36">
        <f t="shared" si="1"/>
        <v>232.41220000000001</v>
      </c>
      <c r="H36" s="20">
        <f t="shared" si="2"/>
        <v>30.980546260000001</v>
      </c>
      <c r="I36" s="20">
        <f t="shared" si="3"/>
        <v>21.583113894466667</v>
      </c>
      <c r="K36" s="20">
        <f t="shared" si="4"/>
        <v>99.489897518162209</v>
      </c>
      <c r="M36" s="20">
        <f t="shared" si="5"/>
        <v>16.97779821129048</v>
      </c>
    </row>
    <row r="37" spans="2:15">
      <c r="C37" s="17" t="s">
        <v>166</v>
      </c>
      <c r="D37" s="17">
        <f>(D33+D40)/2</f>
        <v>1699</v>
      </c>
      <c r="E37" s="17">
        <f t="shared" si="0"/>
        <v>131.17279411764707</v>
      </c>
      <c r="F37" s="17"/>
      <c r="G37" s="17">
        <f t="shared" si="1"/>
        <v>232.48939999999999</v>
      </c>
      <c r="H37" s="24">
        <f t="shared" si="2"/>
        <v>30.990837020000001</v>
      </c>
      <c r="I37" s="24">
        <f t="shared" si="3"/>
        <v>21.590283123933332</v>
      </c>
      <c r="J37" s="24"/>
      <c r="K37" s="24">
        <f t="shared" si="4"/>
        <v>99.522944923110842</v>
      </c>
      <c r="L37" s="24"/>
      <c r="M37" s="24">
        <f t="shared" si="5"/>
        <v>16.983437700189565</v>
      </c>
    </row>
    <row r="38" spans="2:15">
      <c r="D38">
        <f>D36-100</f>
        <v>1600</v>
      </c>
      <c r="E38">
        <f t="shared" si="0"/>
        <v>123.52941176470588</v>
      </c>
      <c r="G38">
        <f t="shared" si="1"/>
        <v>240.13220000000001</v>
      </c>
      <c r="H38" s="20">
        <f t="shared" si="2"/>
        <v>32.00962226</v>
      </c>
      <c r="I38" s="20">
        <f t="shared" si="3"/>
        <v>22.300036841133334</v>
      </c>
      <c r="K38" s="20">
        <f t="shared" si="4"/>
        <v>102.79463801302528</v>
      </c>
      <c r="M38" s="20">
        <f t="shared" si="5"/>
        <v>17.541747101198851</v>
      </c>
    </row>
    <row r="39" spans="2:15">
      <c r="D39">
        <f t="shared" si="6"/>
        <v>1500</v>
      </c>
      <c r="E39">
        <f t="shared" si="0"/>
        <v>115.80882352941177</v>
      </c>
      <c r="G39">
        <f t="shared" si="1"/>
        <v>247.85220000000001</v>
      </c>
      <c r="H39" s="20">
        <f t="shared" si="2"/>
        <v>33.038698260000004</v>
      </c>
      <c r="I39" s="20">
        <f t="shared" si="3"/>
        <v>23.016959787800001</v>
      </c>
      <c r="K39" s="20">
        <f t="shared" si="4"/>
        <v>106.09937850788833</v>
      </c>
      <c r="M39" s="20">
        <f t="shared" si="5"/>
        <v>18.105695991107222</v>
      </c>
    </row>
    <row r="40" spans="2:15">
      <c r="C40" t="s">
        <v>167</v>
      </c>
      <c r="D40">
        <v>1459</v>
      </c>
      <c r="E40">
        <f t="shared" si="0"/>
        <v>112.64338235294119</v>
      </c>
      <c r="G40">
        <f t="shared" si="1"/>
        <v>251.01740000000001</v>
      </c>
      <c r="H40" s="20">
        <f t="shared" si="2"/>
        <v>33.46061942</v>
      </c>
      <c r="I40" s="20">
        <f t="shared" si="3"/>
        <v>23.310898195933333</v>
      </c>
      <c r="K40" s="20">
        <f t="shared" si="4"/>
        <v>107.45432211078219</v>
      </c>
      <c r="M40" s="20">
        <f t="shared" si="5"/>
        <v>18.336915035969657</v>
      </c>
    </row>
    <row r="41" spans="2:15">
      <c r="D41">
        <f>D39-100</f>
        <v>1400</v>
      </c>
      <c r="E41">
        <f t="shared" si="0"/>
        <v>108.08823529411765</v>
      </c>
      <c r="G41">
        <f t="shared" si="1"/>
        <v>255.57220000000001</v>
      </c>
      <c r="H41" s="20">
        <f t="shared" si="2"/>
        <v>34.06777426</v>
      </c>
      <c r="I41" s="20">
        <f t="shared" si="3"/>
        <v>23.733882734466665</v>
      </c>
      <c r="K41" s="20">
        <f t="shared" si="4"/>
        <v>109.40411900275137</v>
      </c>
      <c r="M41" s="20">
        <f t="shared" si="5"/>
        <v>18.669644881015593</v>
      </c>
    </row>
    <row r="42" spans="2:15">
      <c r="D42">
        <f t="shared" si="6"/>
        <v>1300</v>
      </c>
      <c r="E42">
        <f t="shared" si="0"/>
        <v>100.36764705882354</v>
      </c>
      <c r="G42">
        <f t="shared" si="1"/>
        <v>263.29219999999998</v>
      </c>
      <c r="H42" s="20">
        <f t="shared" si="2"/>
        <v>35.096850259999997</v>
      </c>
      <c r="I42" s="20">
        <f t="shared" si="3"/>
        <v>24.450805681133332</v>
      </c>
      <c r="K42" s="20">
        <f t="shared" si="4"/>
        <v>112.70885949761444</v>
      </c>
      <c r="M42" s="20">
        <f t="shared" si="5"/>
        <v>19.233593770923967</v>
      </c>
    </row>
    <row r="43" spans="2:15">
      <c r="D43">
        <f t="shared" si="6"/>
        <v>1200</v>
      </c>
      <c r="E43">
        <f t="shared" si="0"/>
        <v>92.64705882352942</v>
      </c>
      <c r="G43">
        <f t="shared" si="1"/>
        <v>271.01220000000001</v>
      </c>
      <c r="H43" s="20">
        <f t="shared" si="2"/>
        <v>36.12592626</v>
      </c>
      <c r="I43" s="20">
        <f t="shared" si="3"/>
        <v>25.167728627799999</v>
      </c>
      <c r="K43" s="20">
        <f t="shared" si="4"/>
        <v>116.01359999247749</v>
      </c>
      <c r="M43" s="20">
        <f t="shared" si="5"/>
        <v>19.797542660832338</v>
      </c>
    </row>
    <row r="44" spans="2:15">
      <c r="D44">
        <f t="shared" si="6"/>
        <v>1100</v>
      </c>
      <c r="E44">
        <f t="shared" si="0"/>
        <v>84.926470588235304</v>
      </c>
      <c r="G44">
        <f t="shared" si="1"/>
        <v>278.73220000000003</v>
      </c>
      <c r="H44" s="20">
        <f t="shared" si="2"/>
        <v>37.155002260000003</v>
      </c>
      <c r="I44" s="20">
        <f t="shared" si="3"/>
        <v>25.88465157446667</v>
      </c>
      <c r="K44" s="20">
        <f t="shared" si="4"/>
        <v>119.31834048734058</v>
      </c>
      <c r="M44" s="20">
        <f t="shared" si="5"/>
        <v>20.361491550740713</v>
      </c>
    </row>
    <row r="45" spans="2:15">
      <c r="B45">
        <v>1000</v>
      </c>
      <c r="C45" s="17" t="s">
        <v>168</v>
      </c>
      <c r="D45" s="17">
        <f t="shared" si="6"/>
        <v>1000</v>
      </c>
      <c r="E45" s="17">
        <f t="shared" si="0"/>
        <v>77.205882352941174</v>
      </c>
      <c r="F45" s="17"/>
      <c r="G45" s="17">
        <f t="shared" si="1"/>
        <v>286.4522</v>
      </c>
      <c r="H45" s="24">
        <f t="shared" si="2"/>
        <v>38.18407826</v>
      </c>
      <c r="I45" s="24">
        <f t="shared" si="3"/>
        <v>26.601574521133333</v>
      </c>
      <c r="J45" s="24"/>
      <c r="K45" s="24">
        <f t="shared" si="4"/>
        <v>122.62308098220362</v>
      </c>
      <c r="L45" s="24"/>
      <c r="M45" s="24">
        <f t="shared" si="5"/>
        <v>20.92544044064908</v>
      </c>
      <c r="O45">
        <f>M45/M33</f>
        <v>1.3388031673002696</v>
      </c>
    </row>
    <row r="46" spans="2:15">
      <c r="D46">
        <f t="shared" si="6"/>
        <v>900</v>
      </c>
      <c r="E46">
        <f t="shared" si="0"/>
        <v>69.485294117647058</v>
      </c>
      <c r="G46">
        <f t="shared" si="1"/>
        <v>294.17219999999998</v>
      </c>
      <c r="H46" s="20">
        <f t="shared" si="2"/>
        <v>39.213154259999996</v>
      </c>
      <c r="I46" s="20">
        <f t="shared" si="3"/>
        <v>27.318497467799997</v>
      </c>
      <c r="K46" s="20">
        <f t="shared" si="4"/>
        <v>125.92782147706667</v>
      </c>
      <c r="M46" s="20">
        <f t="shared" si="5"/>
        <v>21.489389330557451</v>
      </c>
    </row>
    <row r="47" spans="2:15">
      <c r="D47">
        <f t="shared" si="6"/>
        <v>800</v>
      </c>
      <c r="E47">
        <f t="shared" si="0"/>
        <v>61.764705882352942</v>
      </c>
      <c r="G47">
        <f t="shared" si="1"/>
        <v>301.8922</v>
      </c>
      <c r="H47" s="20">
        <f t="shared" si="2"/>
        <v>40.242230259999999</v>
      </c>
      <c r="I47" s="20">
        <f t="shared" si="3"/>
        <v>28.035420414466667</v>
      </c>
      <c r="K47" s="20">
        <f t="shared" si="4"/>
        <v>129.23256197192975</v>
      </c>
      <c r="M47" s="20">
        <f t="shared" si="5"/>
        <v>22.053338220465829</v>
      </c>
    </row>
    <row r="48" spans="2:15">
      <c r="D48">
        <f t="shared" si="6"/>
        <v>700</v>
      </c>
      <c r="E48">
        <f t="shared" si="0"/>
        <v>54.044117647058826</v>
      </c>
      <c r="G48">
        <f t="shared" si="1"/>
        <v>309.61220000000003</v>
      </c>
      <c r="H48" s="20">
        <f t="shared" si="2"/>
        <v>41.271306260000003</v>
      </c>
      <c r="I48" s="20">
        <f t="shared" si="3"/>
        <v>28.752343361133335</v>
      </c>
      <c r="K48" s="20">
        <f t="shared" si="4"/>
        <v>132.5373024667928</v>
      </c>
      <c r="M48" s="20">
        <f t="shared" si="5"/>
        <v>22.617287110374196</v>
      </c>
    </row>
    <row r="49" spans="4:13">
      <c r="D49">
        <f t="shared" si="6"/>
        <v>600</v>
      </c>
      <c r="E49">
        <f t="shared" si="0"/>
        <v>46.32352941176471</v>
      </c>
      <c r="G49">
        <f t="shared" si="1"/>
        <v>317.3322</v>
      </c>
      <c r="H49" s="20">
        <f t="shared" si="2"/>
        <v>42.300382259999999</v>
      </c>
      <c r="I49" s="20">
        <f t="shared" si="3"/>
        <v>29.469266307799998</v>
      </c>
      <c r="K49" s="20">
        <f t="shared" si="4"/>
        <v>135.84204296165586</v>
      </c>
      <c r="M49" s="20">
        <f t="shared" si="5"/>
        <v>23.181236000282571</v>
      </c>
    </row>
    <row r="50" spans="4:13">
      <c r="D50">
        <f t="shared" si="6"/>
        <v>500</v>
      </c>
      <c r="E50">
        <f t="shared" si="0"/>
        <v>38.602941176470587</v>
      </c>
      <c r="G50">
        <f t="shared" si="1"/>
        <v>325.05220000000003</v>
      </c>
      <c r="H50" s="20">
        <f t="shared" si="2"/>
        <v>43.329458260000003</v>
      </c>
      <c r="I50" s="20">
        <f t="shared" si="3"/>
        <v>30.186189254466669</v>
      </c>
      <c r="K50" s="20">
        <f t="shared" si="4"/>
        <v>139.14678345651893</v>
      </c>
      <c r="M50" s="20">
        <f t="shared" si="5"/>
        <v>23.745184890190945</v>
      </c>
    </row>
    <row r="51" spans="4:13">
      <c r="D51">
        <f t="shared" si="6"/>
        <v>400</v>
      </c>
      <c r="E51">
        <f t="shared" si="0"/>
        <v>30.882352941176471</v>
      </c>
      <c r="G51">
        <f t="shared" si="1"/>
        <v>332.7722</v>
      </c>
      <c r="H51" s="20">
        <f t="shared" si="2"/>
        <v>44.358534259999999</v>
      </c>
      <c r="I51" s="20">
        <f t="shared" si="3"/>
        <v>30.903112201133332</v>
      </c>
      <c r="K51" s="20">
        <f t="shared" si="4"/>
        <v>142.45152395138197</v>
      </c>
      <c r="M51" s="20">
        <f t="shared" si="5"/>
        <v>24.309133780099312</v>
      </c>
    </row>
    <row r="52" spans="4:13">
      <c r="D52">
        <f t="shared" si="6"/>
        <v>300</v>
      </c>
      <c r="E52">
        <f t="shared" si="0"/>
        <v>23.161764705882355</v>
      </c>
      <c r="G52">
        <f t="shared" si="1"/>
        <v>340.49220000000003</v>
      </c>
      <c r="H52" s="20">
        <f t="shared" si="2"/>
        <v>45.387610260000002</v>
      </c>
      <c r="I52" s="20">
        <f t="shared" si="3"/>
        <v>31.620035147799999</v>
      </c>
      <c r="K52" s="20">
        <f t="shared" si="4"/>
        <v>145.75626444624504</v>
      </c>
      <c r="M52" s="20">
        <f t="shared" si="5"/>
        <v>24.873082670007687</v>
      </c>
    </row>
    <row r="53" spans="4:13">
      <c r="D53">
        <f t="shared" si="6"/>
        <v>200</v>
      </c>
      <c r="E53">
        <f t="shared" si="0"/>
        <v>15.441176470588236</v>
      </c>
      <c r="G53">
        <f t="shared" si="1"/>
        <v>348.2122</v>
      </c>
      <c r="H53" s="20">
        <f t="shared" si="2"/>
        <v>46.416686259999999</v>
      </c>
      <c r="I53" s="20">
        <f t="shared" si="3"/>
        <v>32.336958094466667</v>
      </c>
      <c r="K53" s="20">
        <f t="shared" si="4"/>
        <v>149.06100494110811</v>
      </c>
      <c r="M53" s="20">
        <f t="shared" si="5"/>
        <v>25.437031559916061</v>
      </c>
    </row>
    <row r="54" spans="4:13">
      <c r="D54">
        <f t="shared" si="6"/>
        <v>100</v>
      </c>
      <c r="E54">
        <f t="shared" si="0"/>
        <v>7.7205882352941178</v>
      </c>
      <c r="G54">
        <f t="shared" si="1"/>
        <v>355.93219999999997</v>
      </c>
      <c r="H54" s="20">
        <f t="shared" si="2"/>
        <v>47.445762259999995</v>
      </c>
      <c r="I54" s="20">
        <f t="shared" si="3"/>
        <v>33.05388104113333</v>
      </c>
      <c r="K54" s="20">
        <f t="shared" si="4"/>
        <v>152.36574543597115</v>
      </c>
      <c r="M54" s="20">
        <f t="shared" si="5"/>
        <v>26.000980449824429</v>
      </c>
    </row>
    <row r="55" spans="4:13">
      <c r="D55">
        <f t="shared" si="6"/>
        <v>0</v>
      </c>
      <c r="E55">
        <f t="shared" si="0"/>
        <v>0</v>
      </c>
      <c r="G55">
        <f t="shared" si="1"/>
        <v>363.65219999999999</v>
      </c>
      <c r="H55" s="20">
        <f t="shared" si="2"/>
        <v>48.474838259999999</v>
      </c>
      <c r="I55" s="20">
        <f t="shared" si="3"/>
        <v>33.770803987800001</v>
      </c>
      <c r="K55" s="20">
        <f t="shared" si="4"/>
        <v>155.67048593083422</v>
      </c>
      <c r="M55" s="20">
        <f t="shared" si="5"/>
        <v>26.564929339732803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69B7-ACEB-8E45-96CD-BF091C5C4C8E}">
  <dimension ref="A1:L39"/>
  <sheetViews>
    <sheetView zoomScale="80" zoomScaleNormal="80" workbookViewId="0"/>
  </sheetViews>
  <sheetFormatPr defaultColWidth="11.5546875" defaultRowHeight="15"/>
  <sheetData>
    <row r="1" spans="1:12">
      <c r="A1" t="s">
        <v>94</v>
      </c>
      <c r="D1" t="s">
        <v>95</v>
      </c>
      <c r="H1" t="s">
        <v>96</v>
      </c>
    </row>
    <row r="2" spans="1:12">
      <c r="F2" s="17" t="s">
        <v>97</v>
      </c>
    </row>
    <row r="3" spans="1:12">
      <c r="C3" t="s">
        <v>98</v>
      </c>
      <c r="E3" t="s">
        <v>99</v>
      </c>
      <c r="F3" t="s">
        <v>100</v>
      </c>
      <c r="H3" t="s">
        <v>101</v>
      </c>
      <c r="J3" t="s">
        <v>102</v>
      </c>
      <c r="L3" t="s">
        <v>103</v>
      </c>
    </row>
    <row r="4" spans="1:12">
      <c r="A4" t="s">
        <v>89</v>
      </c>
      <c r="C4" t="s">
        <v>90</v>
      </c>
      <c r="D4" t="s">
        <v>91</v>
      </c>
      <c r="F4" t="s">
        <v>90</v>
      </c>
      <c r="G4" t="s">
        <v>91</v>
      </c>
      <c r="H4" t="s">
        <v>90</v>
      </c>
      <c r="I4" t="s">
        <v>91</v>
      </c>
      <c r="J4" t="s">
        <v>90</v>
      </c>
      <c r="K4" t="s">
        <v>91</v>
      </c>
    </row>
    <row r="6" spans="1:12">
      <c r="A6">
        <v>1</v>
      </c>
      <c r="C6">
        <v>50.97</v>
      </c>
      <c r="D6">
        <v>54.26</v>
      </c>
      <c r="E6">
        <f>AVERAGE(C6:D6)</f>
        <v>52.614999999999995</v>
      </c>
      <c r="F6">
        <v>237</v>
      </c>
      <c r="G6">
        <v>242</v>
      </c>
      <c r="H6">
        <v>369</v>
      </c>
      <c r="I6">
        <v>356</v>
      </c>
      <c r="J6">
        <f t="shared" ref="J6:K14" si="0">H6-F6</f>
        <v>132</v>
      </c>
      <c r="K6">
        <f t="shared" si="0"/>
        <v>114</v>
      </c>
      <c r="L6">
        <v>168</v>
      </c>
    </row>
    <row r="7" spans="1:12">
      <c r="A7">
        <v>2</v>
      </c>
      <c r="C7">
        <v>46.44</v>
      </c>
      <c r="D7">
        <v>44.13</v>
      </c>
      <c r="E7">
        <f t="shared" ref="E7:E14" si="1">AVERAGE(C7:D7)</f>
        <v>45.284999999999997</v>
      </c>
      <c r="F7">
        <v>277</v>
      </c>
      <c r="G7">
        <v>271</v>
      </c>
      <c r="H7">
        <v>458</v>
      </c>
      <c r="I7">
        <v>467</v>
      </c>
      <c r="J7">
        <f t="shared" si="0"/>
        <v>181</v>
      </c>
      <c r="K7">
        <f t="shared" si="0"/>
        <v>196</v>
      </c>
      <c r="L7">
        <v>163</v>
      </c>
    </row>
    <row r="8" spans="1:12">
      <c r="A8">
        <v>3</v>
      </c>
      <c r="C8">
        <v>47.31</v>
      </c>
      <c r="D8">
        <v>45.74</v>
      </c>
      <c r="E8">
        <f t="shared" si="1"/>
        <v>46.525000000000006</v>
      </c>
      <c r="F8">
        <v>335</v>
      </c>
      <c r="G8">
        <v>338</v>
      </c>
      <c r="H8">
        <v>596</v>
      </c>
      <c r="I8">
        <v>610</v>
      </c>
      <c r="J8">
        <f t="shared" si="0"/>
        <v>261</v>
      </c>
      <c r="K8">
        <f t="shared" si="0"/>
        <v>272</v>
      </c>
      <c r="L8">
        <v>164</v>
      </c>
    </row>
    <row r="9" spans="1:12">
      <c r="A9">
        <v>4</v>
      </c>
      <c r="B9" t="s">
        <v>92</v>
      </c>
      <c r="C9">
        <v>48.19</v>
      </c>
      <c r="D9">
        <v>43.89</v>
      </c>
      <c r="E9">
        <f t="shared" si="1"/>
        <v>46.04</v>
      </c>
      <c r="F9">
        <v>443</v>
      </c>
      <c r="G9">
        <v>448</v>
      </c>
      <c r="H9">
        <v>737</v>
      </c>
      <c r="I9">
        <v>793</v>
      </c>
      <c r="J9">
        <f t="shared" si="0"/>
        <v>294</v>
      </c>
      <c r="K9">
        <f t="shared" si="0"/>
        <v>345</v>
      </c>
      <c r="L9">
        <v>264</v>
      </c>
    </row>
    <row r="10" spans="1:12">
      <c r="A10">
        <v>4</v>
      </c>
      <c r="B10" t="s">
        <v>93</v>
      </c>
      <c r="C10">
        <v>50.93</v>
      </c>
      <c r="D10">
        <v>47.68</v>
      </c>
      <c r="E10">
        <f t="shared" si="1"/>
        <v>49.305</v>
      </c>
      <c r="F10">
        <v>472</v>
      </c>
      <c r="G10">
        <v>471</v>
      </c>
      <c r="H10">
        <v>798</v>
      </c>
      <c r="I10">
        <v>846</v>
      </c>
      <c r="J10">
        <f t="shared" si="0"/>
        <v>326</v>
      </c>
      <c r="K10">
        <f t="shared" si="0"/>
        <v>375</v>
      </c>
      <c r="L10">
        <v>306</v>
      </c>
    </row>
    <row r="11" spans="1:12">
      <c r="A11">
        <v>6</v>
      </c>
      <c r="C11">
        <v>42.09</v>
      </c>
      <c r="D11">
        <v>43.48</v>
      </c>
      <c r="E11">
        <f t="shared" si="1"/>
        <v>42.784999999999997</v>
      </c>
      <c r="F11">
        <v>501</v>
      </c>
      <c r="G11">
        <v>504</v>
      </c>
      <c r="H11">
        <v>903</v>
      </c>
      <c r="I11">
        <v>897</v>
      </c>
      <c r="J11">
        <f t="shared" si="0"/>
        <v>402</v>
      </c>
      <c r="K11">
        <f t="shared" si="0"/>
        <v>393</v>
      </c>
      <c r="L11">
        <v>318</v>
      </c>
    </row>
    <row r="12" spans="1:12">
      <c r="A12">
        <v>7</v>
      </c>
      <c r="C12">
        <v>45.65</v>
      </c>
      <c r="D12">
        <v>39.880000000000003</v>
      </c>
      <c r="E12">
        <f t="shared" si="1"/>
        <v>42.765000000000001</v>
      </c>
      <c r="F12">
        <v>334</v>
      </c>
      <c r="G12">
        <v>340</v>
      </c>
      <c r="H12">
        <v>543</v>
      </c>
      <c r="I12">
        <v>613</v>
      </c>
      <c r="J12">
        <f t="shared" si="0"/>
        <v>209</v>
      </c>
      <c r="K12">
        <f t="shared" si="0"/>
        <v>273</v>
      </c>
      <c r="L12">
        <v>219</v>
      </c>
    </row>
    <row r="13" spans="1:12">
      <c r="A13">
        <v>8</v>
      </c>
      <c r="C13">
        <v>41.52</v>
      </c>
      <c r="D13">
        <v>45.97</v>
      </c>
      <c r="E13">
        <f t="shared" si="1"/>
        <v>43.745000000000005</v>
      </c>
      <c r="F13">
        <v>604</v>
      </c>
      <c r="G13">
        <v>562</v>
      </c>
      <c r="H13">
        <v>1099</v>
      </c>
      <c r="I13">
        <v>1058</v>
      </c>
      <c r="J13">
        <f t="shared" si="0"/>
        <v>495</v>
      </c>
      <c r="K13">
        <f t="shared" si="0"/>
        <v>496</v>
      </c>
      <c r="L13">
        <v>428</v>
      </c>
    </row>
    <row r="14" spans="1:12">
      <c r="A14">
        <v>9</v>
      </c>
      <c r="C14">
        <v>41.17</v>
      </c>
      <c r="D14">
        <v>43.33</v>
      </c>
      <c r="E14">
        <f t="shared" si="1"/>
        <v>42.25</v>
      </c>
      <c r="F14">
        <v>247</v>
      </c>
      <c r="G14">
        <v>235</v>
      </c>
      <c r="H14">
        <v>452</v>
      </c>
      <c r="I14">
        <v>441</v>
      </c>
      <c r="J14">
        <f t="shared" si="0"/>
        <v>205</v>
      </c>
      <c r="K14">
        <f t="shared" si="0"/>
        <v>206</v>
      </c>
      <c r="L14">
        <v>164</v>
      </c>
    </row>
    <row r="16" spans="1:12">
      <c r="A16" t="s">
        <v>104</v>
      </c>
      <c r="C16" s="1" t="s">
        <v>90</v>
      </c>
      <c r="D16" s="1" t="s">
        <v>91</v>
      </c>
      <c r="E16" s="1" t="s">
        <v>105</v>
      </c>
      <c r="F16" s="1"/>
    </row>
    <row r="17" spans="1:6">
      <c r="B17" t="s">
        <v>106</v>
      </c>
      <c r="C17" s="1">
        <f>AVERAGE(C6:C14)</f>
        <v>46.03</v>
      </c>
      <c r="D17" s="1">
        <f>AVERAGE(D6:D14)</f>
        <v>45.373333333333328</v>
      </c>
      <c r="E17" s="1">
        <f>AVERAGE(E6:E14)</f>
        <v>45.701666666666668</v>
      </c>
      <c r="F17" s="1"/>
    </row>
    <row r="18" spans="1:6">
      <c r="B18" t="s">
        <v>107</v>
      </c>
      <c r="C18" s="1">
        <f>STDEV(C6:C14)</f>
        <v>3.7834078553600308</v>
      </c>
      <c r="D18" s="1">
        <f>STDEV(D6:D14)</f>
        <v>3.9759715793752846</v>
      </c>
      <c r="E18" s="1">
        <f>STDEV(E6:E14)</f>
        <v>3.4390705503086139</v>
      </c>
      <c r="F18" s="1"/>
    </row>
    <row r="19" spans="1:6">
      <c r="B19" t="s">
        <v>108</v>
      </c>
      <c r="C19" s="1">
        <f>CONFIDENCE(0.05,C18,9)</f>
        <v>2.4717810451105282</v>
      </c>
      <c r="D19" s="1">
        <f>CONFIDENCE(0.05,D18,9)</f>
        <v>2.5975870330434643</v>
      </c>
      <c r="E19" s="1">
        <f>CONFIDENCE(0.05,E18,9)</f>
        <v>2.2468181396324085</v>
      </c>
      <c r="F19" s="1"/>
    </row>
    <row r="20" spans="1:6">
      <c r="B20" t="s">
        <v>109</v>
      </c>
      <c r="C20" s="1" t="s">
        <v>110</v>
      </c>
      <c r="D20" s="1" t="s">
        <v>110</v>
      </c>
      <c r="E20" s="1" t="s">
        <v>110</v>
      </c>
      <c r="F20" s="1"/>
    </row>
    <row r="21" spans="1:6">
      <c r="B21" t="s">
        <v>106</v>
      </c>
      <c r="C21" s="1">
        <f>AVERAGE(C6:D14)</f>
        <v>45.701666666666668</v>
      </c>
      <c r="D21" s="1" t="s">
        <v>111</v>
      </c>
      <c r="E21" s="1"/>
      <c r="F21" s="1">
        <f>SIN(C21*PI()/180)</f>
        <v>0.71571304947806624</v>
      </c>
    </row>
    <row r="22" spans="1:6">
      <c r="B22" t="s">
        <v>107</v>
      </c>
      <c r="C22" s="1">
        <f>STDEV(C6:D14)</f>
        <v>3.7801388863373777</v>
      </c>
      <c r="D22" s="1"/>
      <c r="E22" s="1"/>
      <c r="F22" s="1"/>
    </row>
    <row r="23" spans="1:6">
      <c r="B23" t="s">
        <v>108</v>
      </c>
      <c r="C23" s="1">
        <f>CONFIDENCE(0.05,C22,18)</f>
        <v>1.7463029797159677</v>
      </c>
      <c r="D23" s="1"/>
      <c r="E23" s="1"/>
      <c r="F23" s="1"/>
    </row>
    <row r="24" spans="1:6">
      <c r="B24" t="s">
        <v>112</v>
      </c>
      <c r="C24" s="1">
        <v>18</v>
      </c>
      <c r="D24" s="1"/>
      <c r="E24" s="1"/>
      <c r="F24" s="1"/>
    </row>
    <row r="25" spans="1:6">
      <c r="C25" s="1"/>
      <c r="D25" s="1"/>
      <c r="E25" s="1"/>
      <c r="F25" s="1"/>
    </row>
    <row r="26" spans="1:6" ht="15.75">
      <c r="A26" s="18" t="s">
        <v>113</v>
      </c>
      <c r="D26" s="1"/>
      <c r="E26" s="1"/>
      <c r="F26" s="1"/>
    </row>
    <row r="27" spans="1:6">
      <c r="A27" t="s">
        <v>114</v>
      </c>
      <c r="B27" t="s">
        <v>83</v>
      </c>
      <c r="C27" s="1">
        <v>651</v>
      </c>
      <c r="D27" s="1"/>
      <c r="E27" s="1"/>
      <c r="F27" s="1"/>
    </row>
    <row r="28" spans="1:6">
      <c r="A28" t="s">
        <v>115</v>
      </c>
      <c r="B28" t="s">
        <v>116</v>
      </c>
      <c r="C28">
        <v>1939</v>
      </c>
    </row>
    <row r="29" spans="1:6">
      <c r="A29" t="s">
        <v>117</v>
      </c>
      <c r="B29" t="s">
        <v>116</v>
      </c>
      <c r="C29">
        <f>0.87*C28</f>
        <v>1686.93</v>
      </c>
      <c r="D29">
        <v>0.87</v>
      </c>
      <c r="F29" t="s">
        <v>118</v>
      </c>
    </row>
    <row r="30" spans="1:6">
      <c r="A30" t="s">
        <v>119</v>
      </c>
      <c r="C30">
        <f>C28-C29</f>
        <v>252.06999999999994</v>
      </c>
    </row>
    <row r="31" spans="1:6">
      <c r="A31" t="s">
        <v>120</v>
      </c>
      <c r="B31" t="str">
        <f>B29</f>
        <v>mm</v>
      </c>
      <c r="C31">
        <f>C29</f>
        <v>1686.93</v>
      </c>
      <c r="D31" s="6" t="s">
        <v>121</v>
      </c>
      <c r="E31" s="6"/>
    </row>
    <row r="32" spans="1:6" ht="15.75">
      <c r="A32" s="18" t="s">
        <v>122</v>
      </c>
      <c r="D32" s="6"/>
      <c r="E32" s="6"/>
    </row>
    <row r="33" spans="1:6">
      <c r="A33" t="s">
        <v>123</v>
      </c>
      <c r="B33" t="s">
        <v>124</v>
      </c>
      <c r="C33" s="1">
        <f>C21</f>
        <v>45.701666666666668</v>
      </c>
      <c r="D33" s="6"/>
      <c r="E33" s="6"/>
    </row>
    <row r="34" spans="1:6">
      <c r="A34" t="s">
        <v>125</v>
      </c>
      <c r="B34" s="6"/>
      <c r="C34" s="1">
        <f>SIN(RADIANS(C33))</f>
        <v>0.71571304947806624</v>
      </c>
      <c r="D34" s="6"/>
      <c r="E34" s="6"/>
      <c r="F34" s="6"/>
    </row>
    <row r="35" spans="1:6">
      <c r="A35" t="s">
        <v>117</v>
      </c>
      <c r="C35">
        <f>C31*C34</f>
        <v>1207.3578145560343</v>
      </c>
      <c r="D35" t="s">
        <v>126</v>
      </c>
      <c r="F35" t="s">
        <v>127</v>
      </c>
    </row>
    <row r="36" spans="1:6">
      <c r="A36" t="s">
        <v>119</v>
      </c>
      <c r="B36" t="s">
        <v>116</v>
      </c>
      <c r="C36">
        <f>C31-C35</f>
        <v>479.57218544396574</v>
      </c>
      <c r="D36" t="s">
        <v>128</v>
      </c>
      <c r="F36" t="s">
        <v>129</v>
      </c>
    </row>
    <row r="37" spans="1:6">
      <c r="A37" t="s">
        <v>130</v>
      </c>
      <c r="C37">
        <f>C35+C30</f>
        <v>1459.4278145560343</v>
      </c>
    </row>
    <row r="39" spans="1:6">
      <c r="A39" t="s">
        <v>119</v>
      </c>
      <c r="C39">
        <f>C28-C37</f>
        <v>479.57218544396574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Height and mass</vt:lpstr>
      <vt:lpstr>Metabolic rates</vt:lpstr>
      <vt:lpstr>Model</vt:lpstr>
      <vt:lpstr>Drinking posture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Seymour</dc:creator>
  <cp:lastModifiedBy>Edward Snelling</cp:lastModifiedBy>
  <dcterms:created xsi:type="dcterms:W3CDTF">2025-09-11T01:48:45Z</dcterms:created>
  <dcterms:modified xsi:type="dcterms:W3CDTF">2025-10-09T12:33:41Z</dcterms:modified>
</cp:coreProperties>
</file>